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628"/>
  <workbookPr codeName="ThisWorkbook" defaultThemeVersion="124226"/>
  <mc:AlternateContent xmlns:mc="http://schemas.openxmlformats.org/markup-compatibility/2006">
    <mc:Choice Requires="x15">
      <x15ac:absPath xmlns:x15ac="http://schemas.microsoft.com/office/spreadsheetml/2010/11/ac" url="\\192.168.5.101\datos\3. ANI\3. CONSORCIO EPSILON 4G\AVANCES SEMANALES\2021\GERENCIAL No. 280\"/>
    </mc:Choice>
  </mc:AlternateContent>
  <xr:revisionPtr revIDLastSave="0" documentId="13_ncr:1_{31075CF5-12CC-4384-B605-3CEF1E337F3A}" xr6:coauthVersionLast="46" xr6:coauthVersionMax="46" xr10:uidLastSave="{00000000-0000-0000-0000-000000000000}"/>
  <bookViews>
    <workbookView xWindow="-120" yWindow="-120" windowWidth="29040" windowHeight="15840" tabRatio="842" xr2:uid="{00000000-000D-0000-FFFF-FFFF00000000}"/>
  </bookViews>
  <sheets>
    <sheet name="Formato" sheetId="316" r:id="rId1"/>
    <sheet name="Predial" sheetId="1078" r:id="rId2"/>
    <sheet name="FINANCIERO" sheetId="1080" r:id="rId3"/>
    <sheet name="Registro fotográfico social" sheetId="1076" r:id="rId4"/>
    <sheet name="Registro fotográfico redes" sheetId="966" r:id="rId5"/>
    <sheet name="Registro fotográfico técnico" sheetId="1073" r:id="rId6"/>
    <sheet name="Registro fotográfico túnel" sheetId="1075" r:id="rId7"/>
    <sheet name="Registro fotográfico puentes" sheetId="1074" r:id="rId8"/>
    <sheet name="Registro fotográfico OyM" sheetId="1079" r:id="rId9"/>
    <sheet name="Registro fotográfico ambiental" sheetId="1077" r:id="rId10"/>
  </sheets>
  <externalReferences>
    <externalReference r:id="rId11"/>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s>
  <definedNames>
    <definedName name="\0" localSheetId="9">#REF!</definedName>
    <definedName name="\0" localSheetId="8">#REF!</definedName>
    <definedName name="\0" localSheetId="7">#REF!</definedName>
    <definedName name="\0" localSheetId="5">#REF!</definedName>
    <definedName name="\0" localSheetId="6">#REF!</definedName>
    <definedName name="\0">#REF!</definedName>
    <definedName name="\d" localSheetId="9">#REF!</definedName>
    <definedName name="\d" localSheetId="8">#REF!</definedName>
    <definedName name="\d" localSheetId="5">#REF!</definedName>
    <definedName name="\d" localSheetId="6">#REF!</definedName>
    <definedName name="\d">#REF!</definedName>
    <definedName name="\g" localSheetId="9">#REF!</definedName>
    <definedName name="\g" localSheetId="8">#REF!</definedName>
    <definedName name="\g" localSheetId="5">#REF!</definedName>
    <definedName name="\g" localSheetId="6">#REF!</definedName>
    <definedName name="\g">#REF!</definedName>
    <definedName name="\m" localSheetId="5">#REF!</definedName>
    <definedName name="\m">#REF!</definedName>
    <definedName name="\n" localSheetId="5">#REF!</definedName>
    <definedName name="\n">#REF!</definedName>
    <definedName name="\p" localSheetId="5">#REF!</definedName>
    <definedName name="\p">#REF!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9">[1]DATOS!$I:$I</definedName>
    <definedName name="____________________________gol2" localSheetId="8">[1]DATOS!$I:$I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9">[1]DATOS!$M:$M</definedName>
    <definedName name="____________________________gol3" localSheetId="8">[1]DATOS!$M:$M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9">[1]DATOS!$G:$G</definedName>
    <definedName name="____________________________pes1" localSheetId="8">[1]DATOS!$G:$G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9">[1]DATOS!$V:$V</definedName>
    <definedName name="____________________________pes10" localSheetId="8">[1]DATOS!$V:$V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9">[1]DATOS!$H:$H</definedName>
    <definedName name="____________________________pes2" localSheetId="8">[1]DATOS!$H:$H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9">[1]DATOS!$K:$K</definedName>
    <definedName name="____________________________pes3" localSheetId="8">[1]DATOS!$K:$K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9">[1]DATOS!$L:$L</definedName>
    <definedName name="____________________________pes4" localSheetId="8">[1]DATOS!$L:$L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9">[1]DATOS!$O:$O</definedName>
    <definedName name="____________________________pes5" localSheetId="8">[1]DATOS!$O:$O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9">[1]DATOS!$P:$P</definedName>
    <definedName name="____________________________pes6" localSheetId="8">[1]DATOS!$P:$P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9">[1]DATOS!$R:$R</definedName>
    <definedName name="____________________________pes7" localSheetId="8">[1]DATOS!$R:$R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9">[1]DATOS!$S:$S</definedName>
    <definedName name="____________________________pes8" localSheetId="8">[1]DATOS!$S:$S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9">[1]DATOS!$U:$U</definedName>
    <definedName name="____________________________pes9" localSheetId="8">[1]DATOS!$U:$U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9">[1]DATOS!$I:$I</definedName>
    <definedName name="___________________________gol2" localSheetId="8">[1]DATOS!$I:$I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9">[1]DATOS!$M:$M</definedName>
    <definedName name="___________________________gol3" localSheetId="8">[1]DATOS!$M:$M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9">[1]DATOS!$G:$G</definedName>
    <definedName name="___________________________pes1" localSheetId="8">[1]DATOS!$G:$G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9">[1]DATOS!$V:$V</definedName>
    <definedName name="___________________________pes10" localSheetId="8">[1]DATOS!$V:$V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9">[1]DATOS!$H:$H</definedName>
    <definedName name="___________________________pes2" localSheetId="8">[1]DATOS!$H:$H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9">[1]DATOS!$K:$K</definedName>
    <definedName name="___________________________pes3" localSheetId="8">[1]DATOS!$K:$K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9">[1]DATOS!$L:$L</definedName>
    <definedName name="___________________________pes4" localSheetId="8">[1]DATOS!$L:$L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9">[1]DATOS!$O:$O</definedName>
    <definedName name="___________________________pes5" localSheetId="8">[1]DATOS!$O:$O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9">[1]DATOS!$P:$P</definedName>
    <definedName name="___________________________pes6" localSheetId="8">[1]DATOS!$P:$P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9">[1]DATOS!$R:$R</definedName>
    <definedName name="___________________________pes7" localSheetId="8">[1]DATOS!$R:$R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9">[1]DATOS!$S:$S</definedName>
    <definedName name="___________________________pes8" localSheetId="8">[1]DATOS!$S:$S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9">[1]DATOS!$U:$U</definedName>
    <definedName name="___________________________pes9" localSheetId="8">[1]DATOS!$U:$U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9">[1]DATOS!$I:$I</definedName>
    <definedName name="__________________________gol2" localSheetId="8">[1]DATOS!$I:$I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9">[1]DATOS!$M:$M</definedName>
    <definedName name="__________________________gol3" localSheetId="8">[1]DATOS!$M:$M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9">[1]DATOS!$G:$G</definedName>
    <definedName name="__________________________pes1" localSheetId="8">[1]DATOS!$G:$G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9">[1]DATOS!$V:$V</definedName>
    <definedName name="__________________________pes10" localSheetId="8">[1]DATOS!$V:$V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9">[1]DATOS!$H:$H</definedName>
    <definedName name="__________________________pes2" localSheetId="8">[1]DATOS!$H:$H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9">[1]DATOS!$K:$K</definedName>
    <definedName name="__________________________pes3" localSheetId="8">[1]DATOS!$K:$K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9">[1]DATOS!$L:$L</definedName>
    <definedName name="__________________________pes4" localSheetId="8">[1]DATOS!$L:$L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9">[1]DATOS!$O:$O</definedName>
    <definedName name="__________________________pes5" localSheetId="8">[1]DATOS!$O:$O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9">[1]DATOS!$P:$P</definedName>
    <definedName name="__________________________pes6" localSheetId="8">[1]DATOS!$P:$P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9">[1]DATOS!$R:$R</definedName>
    <definedName name="__________________________pes7" localSheetId="8">[1]DATOS!$R:$R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9">[1]DATOS!$S:$S</definedName>
    <definedName name="__________________________pes8" localSheetId="8">[1]DATOS!$S:$S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9">[1]DATOS!$U:$U</definedName>
    <definedName name="__________________________pes9" localSheetId="8">[1]DATOS!$U:$U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9">[1]DATOS!$I:$I</definedName>
    <definedName name="_________________________gol2" localSheetId="8">[1]DATOS!$I:$I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9">[1]DATOS!$M:$M</definedName>
    <definedName name="_________________________gol3" localSheetId="8">[1]DATOS!$M:$M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9">[1]DATOS!$G:$G</definedName>
    <definedName name="_________________________pes1" localSheetId="8">[1]DATOS!$G:$G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9">[1]DATOS!$V:$V</definedName>
    <definedName name="_________________________pes10" localSheetId="8">[1]DATOS!$V:$V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9">[1]DATOS!$H:$H</definedName>
    <definedName name="_________________________pes2" localSheetId="8">[1]DATOS!$H:$H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9">[1]DATOS!$K:$K</definedName>
    <definedName name="_________________________pes3" localSheetId="8">[1]DATOS!$K:$K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9">[1]DATOS!$L:$L</definedName>
    <definedName name="_________________________pes4" localSheetId="8">[1]DATOS!$L:$L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9">[1]DATOS!$O:$O</definedName>
    <definedName name="_________________________pes5" localSheetId="8">[1]DATOS!$O:$O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9">[1]DATOS!$P:$P</definedName>
    <definedName name="_________________________pes6" localSheetId="8">[1]DATOS!$P:$P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9">[1]DATOS!$R:$R</definedName>
    <definedName name="_________________________pes7" localSheetId="8">[1]DATOS!$R:$R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9">[1]DATOS!$S:$S</definedName>
    <definedName name="_________________________pes8" localSheetId="8">[1]DATOS!$S:$S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9">[1]DATOS!$U:$U</definedName>
    <definedName name="_________________________pes9" localSheetId="8">[1]DATOS!$U:$U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9">[1]DATOS!$I:$I</definedName>
    <definedName name="________________________gol2" localSheetId="8">[1]DATOS!$I:$I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9">[1]DATOS!$M:$M</definedName>
    <definedName name="________________________gol3" localSheetId="8">[1]DATOS!$M:$M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9">[1]DATOS!$G:$G</definedName>
    <definedName name="________________________pes1" localSheetId="8">[1]DATOS!$G:$G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9">[1]DATOS!$V:$V</definedName>
    <definedName name="________________________pes10" localSheetId="8">[1]DATOS!$V:$V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9">[1]DATOS!$H:$H</definedName>
    <definedName name="________________________pes2" localSheetId="8">[1]DATOS!$H:$H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9">[1]DATOS!$K:$K</definedName>
    <definedName name="________________________pes3" localSheetId="8">[1]DATOS!$K:$K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9">[1]DATOS!$L:$L</definedName>
    <definedName name="________________________pes4" localSheetId="8">[1]DATOS!$L:$L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9">[1]DATOS!$O:$O</definedName>
    <definedName name="________________________pes5" localSheetId="8">[1]DATOS!$O:$O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9">[1]DATOS!$P:$P</definedName>
    <definedName name="________________________pes6" localSheetId="8">[1]DATOS!$P:$P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9">[1]DATOS!$R:$R</definedName>
    <definedName name="________________________pes7" localSheetId="8">[1]DATOS!$R:$R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9">[1]DATOS!$S:$S</definedName>
    <definedName name="________________________pes8" localSheetId="8">[1]DATOS!$S:$S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9">[1]DATOS!$U:$U</definedName>
    <definedName name="________________________pes9" localSheetId="8">[1]DATOS!$U:$U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9">[1]DATOS!$I:$I</definedName>
    <definedName name="_______________________gol2" localSheetId="8">[1]DATOS!$I:$I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9">[1]DATOS!$M:$M</definedName>
    <definedName name="_______________________gol3" localSheetId="8">[1]DATOS!$M:$M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9">[1]DATOS!$G:$G</definedName>
    <definedName name="_______________________pes1" localSheetId="8">[1]DATOS!$G:$G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9">[1]DATOS!$V:$V</definedName>
    <definedName name="_______________________pes10" localSheetId="8">[1]DATOS!$V:$V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9">[1]DATOS!$H:$H</definedName>
    <definedName name="_______________________pes2" localSheetId="8">[1]DATOS!$H:$H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9">[1]DATOS!$K:$K</definedName>
    <definedName name="_______________________pes3" localSheetId="8">[1]DATOS!$K:$K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9">[1]DATOS!$L:$L</definedName>
    <definedName name="_______________________pes4" localSheetId="8">[1]DATOS!$L:$L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9">[1]DATOS!$O:$O</definedName>
    <definedName name="_______________________pes5" localSheetId="8">[1]DATOS!$O:$O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9">[1]DATOS!$P:$P</definedName>
    <definedName name="_______________________pes6" localSheetId="8">[1]DATOS!$P:$P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9">[1]DATOS!$R:$R</definedName>
    <definedName name="_______________________pes7" localSheetId="8">[1]DATOS!$R:$R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9">[1]DATOS!$S:$S</definedName>
    <definedName name="_______________________pes8" localSheetId="8">[1]DATOS!$S:$S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9">[1]DATOS!$U:$U</definedName>
    <definedName name="_______________________pes9" localSheetId="8">[1]DATOS!$U:$U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9">[1]DATOS!$I:$I</definedName>
    <definedName name="______________________gol2" localSheetId="8">[1]DATOS!$I:$I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9">[1]DATOS!$M:$M</definedName>
    <definedName name="______________________gol3" localSheetId="8">[1]DATOS!$M:$M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9">[1]DATOS!$G:$G</definedName>
    <definedName name="______________________pes1" localSheetId="8">[1]DATOS!$G:$G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9">[1]DATOS!$V:$V</definedName>
    <definedName name="______________________pes10" localSheetId="8">[1]DATOS!$V:$V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9">[1]DATOS!$H:$H</definedName>
    <definedName name="______________________pes2" localSheetId="8">[1]DATOS!$H:$H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9">[1]DATOS!$K:$K</definedName>
    <definedName name="______________________pes3" localSheetId="8">[1]DATOS!$K:$K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9">[1]DATOS!$L:$L</definedName>
    <definedName name="______________________pes4" localSheetId="8">[1]DATOS!$L:$L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9">[1]DATOS!$O:$O</definedName>
    <definedName name="______________________pes5" localSheetId="8">[1]DATOS!$O:$O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9">[1]DATOS!$P:$P</definedName>
    <definedName name="______________________pes6" localSheetId="8">[1]DATOS!$P:$P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9">[1]DATOS!$R:$R</definedName>
    <definedName name="______________________pes7" localSheetId="8">[1]DATOS!$R:$R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9">[1]DATOS!$S:$S</definedName>
    <definedName name="______________________pes8" localSheetId="8">[1]DATOS!$S:$S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9">[1]DATOS!$U:$U</definedName>
    <definedName name="______________________pes9" localSheetId="8">[1]DATOS!$U:$U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9">[1]DATOS!$I:$I</definedName>
    <definedName name="_____________________gol2" localSheetId="8">[1]DATOS!$I:$I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9">[1]DATOS!$M:$M</definedName>
    <definedName name="_____________________gol3" localSheetId="8">[1]DATOS!$M:$M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9">[1]DATOS!$G:$G</definedName>
    <definedName name="_____________________pes1" localSheetId="8">[1]DATOS!$G:$G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9">[1]DATOS!$V:$V</definedName>
    <definedName name="_____________________pes10" localSheetId="8">[1]DATOS!$V:$V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9">[1]DATOS!$H:$H</definedName>
    <definedName name="_____________________pes2" localSheetId="8">[1]DATOS!$H:$H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9">[1]DATOS!$K:$K</definedName>
    <definedName name="_____________________pes3" localSheetId="8">[1]DATOS!$K:$K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9">[1]DATOS!$L:$L</definedName>
    <definedName name="_____________________pes4" localSheetId="8">[1]DATOS!$L:$L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9">[1]DATOS!$O:$O</definedName>
    <definedName name="_____________________pes5" localSheetId="8">[1]DATOS!$O:$O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9">[1]DATOS!$P:$P</definedName>
    <definedName name="_____________________pes6" localSheetId="8">[1]DATOS!$P:$P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9">[1]DATOS!$R:$R</definedName>
    <definedName name="_____________________pes7" localSheetId="8">[1]DATOS!$R:$R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9">[1]DATOS!$S:$S</definedName>
    <definedName name="_____________________pes8" localSheetId="8">[1]DATOS!$S:$S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9">[1]DATOS!$U:$U</definedName>
    <definedName name="_____________________pes9" localSheetId="8">[1]DATOS!$U:$U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9">[1]DATOS!$I:$I</definedName>
    <definedName name="____________________gol2" localSheetId="8">[1]DATOS!$I:$I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9">[1]DATOS!$M:$M</definedName>
    <definedName name="____________________gol3" localSheetId="8">[1]DATOS!$M:$M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9">[1]DATOS!$G:$G</definedName>
    <definedName name="____________________pes1" localSheetId="8">[1]DATOS!$G:$G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9">[1]DATOS!$V:$V</definedName>
    <definedName name="____________________pes10" localSheetId="8">[1]DATOS!$V:$V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9">[1]DATOS!$H:$H</definedName>
    <definedName name="____________________pes2" localSheetId="8">[1]DATOS!$H:$H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9">[1]DATOS!$K:$K</definedName>
    <definedName name="____________________pes3" localSheetId="8">[1]DATOS!$K:$K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9">[1]DATOS!$L:$L</definedName>
    <definedName name="____________________pes4" localSheetId="8">[1]DATOS!$L:$L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9">[1]DATOS!$O:$O</definedName>
    <definedName name="____________________pes5" localSheetId="8">[1]DATOS!$O:$O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9">[1]DATOS!$P:$P</definedName>
    <definedName name="____________________pes6" localSheetId="8">[1]DATOS!$P:$P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9">[1]DATOS!$R:$R</definedName>
    <definedName name="____________________pes7" localSheetId="8">[1]DATOS!$R:$R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9">[1]DATOS!$S:$S</definedName>
    <definedName name="____________________pes8" localSheetId="8">[1]DATOS!$S:$S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9">[1]DATOS!$U:$U</definedName>
    <definedName name="____________________pes9" localSheetId="8">[1]DATOS!$U:$U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9">[1]DATOS!$I:$I</definedName>
    <definedName name="___________________gol2" localSheetId="8">[1]DATOS!$I:$I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9">[1]DATOS!$M:$M</definedName>
    <definedName name="___________________gol3" localSheetId="8">[1]DATOS!$M:$M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9">[1]DATOS!$G:$G</definedName>
    <definedName name="___________________pes1" localSheetId="8">[1]DATOS!$G:$G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9">[1]DATOS!$V:$V</definedName>
    <definedName name="___________________pes10" localSheetId="8">[1]DATOS!$V:$V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9">[1]DATOS!$H:$H</definedName>
    <definedName name="___________________pes2" localSheetId="8">[1]DATOS!$H:$H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9">[1]DATOS!$K:$K</definedName>
    <definedName name="___________________pes3" localSheetId="8">[1]DATOS!$K:$K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9">[1]DATOS!$L:$L</definedName>
    <definedName name="___________________pes4" localSheetId="8">[1]DATOS!$L:$L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9">[1]DATOS!$O:$O</definedName>
    <definedName name="___________________pes5" localSheetId="8">[1]DATOS!$O:$O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9">[1]DATOS!$P:$P</definedName>
    <definedName name="___________________pes6" localSheetId="8">[1]DATOS!$P:$P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9">[1]DATOS!$R:$R</definedName>
    <definedName name="___________________pes7" localSheetId="8">[1]DATOS!$R:$R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9">[1]DATOS!$S:$S</definedName>
    <definedName name="___________________pes8" localSheetId="8">[1]DATOS!$S:$S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9">[1]DATOS!$U:$U</definedName>
    <definedName name="___________________pes9" localSheetId="8">[1]DATOS!$U:$U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9">#REF!</definedName>
    <definedName name="_____________K1" localSheetId="8">#REF!</definedName>
    <definedName name="_____________K1">#REF!</definedName>
    <definedName name="_____________L1" localSheetId="9">#REF!</definedName>
    <definedName name="_____________L1" localSheetId="8">#REF!</definedName>
    <definedName name="_____________L1">#REF!</definedName>
    <definedName name="_____________L2" localSheetId="9">#REF!</definedName>
    <definedName name="_____________L2" localSheetId="8">#REF!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9">#REF!</definedName>
    <definedName name="____________K1" localSheetId="8">#REF!</definedName>
    <definedName name="____________K1">#REF!</definedName>
    <definedName name="____________L1" localSheetId="9">#REF!</definedName>
    <definedName name="____________L1" localSheetId="8">#REF!</definedName>
    <definedName name="____________L1">#REF!</definedName>
    <definedName name="____________L2" localSheetId="9">#REF!</definedName>
    <definedName name="____________L2" localSheetId="8">#REF!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9">#REF!</definedName>
    <definedName name="___________a03" localSheetId="8">#REF!</definedName>
    <definedName name="___________a03">#REF!</definedName>
    <definedName name="___________A1" localSheetId="9">#REF!</definedName>
    <definedName name="___________A1" localSheetId="8">#REF!</definedName>
    <definedName name="___________A1">#REF!</definedName>
    <definedName name="___________A25" localSheetId="9">#REF!</definedName>
    <definedName name="___________A25" localSheetId="8">#REF!</definedName>
    <definedName name="___________A25">#REF!</definedName>
    <definedName name="___________CD1">#REF!</definedName>
    <definedName name="___________ddd1">#REF!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9">#REF!</definedName>
    <definedName name="___________JJ1" localSheetId="8">#REF!</definedName>
    <definedName name="___________JJ1">#REF!</definedName>
    <definedName name="___________K1" localSheetId="9">#REF!</definedName>
    <definedName name="___________K1" localSheetId="8">#REF!</definedName>
    <definedName name="___________K1">#REF!</definedName>
    <definedName name="___________L1" localSheetId="9">#REF!</definedName>
    <definedName name="___________L1" localSheetId="8">#REF!</definedName>
    <definedName name="___________L1">#REF!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9">#REF!</definedName>
    <definedName name="__________K1" localSheetId="8">#REF!</definedName>
    <definedName name="__________K1">#REF!</definedName>
    <definedName name="__________L1" localSheetId="9">#REF!</definedName>
    <definedName name="__________L1" localSheetId="8">#REF!</definedName>
    <definedName name="__________L1">#REF!</definedName>
    <definedName name="__________L2" localSheetId="9">#REF!</definedName>
    <definedName name="__________L2" localSheetId="8">#REF!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9">#REF!</definedName>
    <definedName name="_________a03" localSheetId="8">#REF!</definedName>
    <definedName name="_________a03">#REF!</definedName>
    <definedName name="_________A1" localSheetId="9">#REF!</definedName>
    <definedName name="_________A1" localSheetId="8">#REF!</definedName>
    <definedName name="_________A1">#REF!</definedName>
    <definedName name="_________A25" localSheetId="9">#REF!</definedName>
    <definedName name="_________A25" localSheetId="8">#REF!</definedName>
    <definedName name="_________A25">#REF!</definedName>
    <definedName name="_________CD1">#REF!</definedName>
    <definedName name="_________ddd1">#REF!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9">#REF!</definedName>
    <definedName name="_________JJ1" localSheetId="8">#REF!</definedName>
    <definedName name="_________JJ1">#REF!</definedName>
    <definedName name="_________K1" localSheetId="9">#REF!</definedName>
    <definedName name="_________K1" localSheetId="8">#REF!</definedName>
    <definedName name="_________K1">#REF!</definedName>
    <definedName name="_________L1" localSheetId="9">#REF!</definedName>
    <definedName name="_________L1" localSheetId="8">#REF!</definedName>
    <definedName name="_________L1">#REF!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9">#REF!</definedName>
    <definedName name="_________vz2" localSheetId="8">#REF!</definedName>
    <definedName name="_________vz2">#REF!</definedName>
    <definedName name="________a03" localSheetId="9">#REF!</definedName>
    <definedName name="________a03" localSheetId="8">#REF!</definedName>
    <definedName name="________a03">#REF!</definedName>
    <definedName name="________A1" localSheetId="9">#REF!</definedName>
    <definedName name="________A1" localSheetId="8">#REF!</definedName>
    <definedName name="________A1">#REF!</definedName>
    <definedName name="________A25">#REF!</definedName>
    <definedName name="________CD1">#REF!</definedName>
    <definedName name="________ddd1">#REF!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9">#REF!</definedName>
    <definedName name="________JJ1" localSheetId="8">#REF!</definedName>
    <definedName name="________JJ1">#REF!</definedName>
    <definedName name="________K1" localSheetId="9">#REF!</definedName>
    <definedName name="________K1" localSheetId="8">#REF!</definedName>
    <definedName name="________K1">#REF!</definedName>
    <definedName name="________L1" localSheetId="9">#REF!</definedName>
    <definedName name="________L1" localSheetId="8">#REF!</definedName>
    <definedName name="________L1">#REF!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9">#REF!</definedName>
    <definedName name="________vz2" localSheetId="8">#REF!</definedName>
    <definedName name="________vz2">#REF!</definedName>
    <definedName name="_______a03" localSheetId="9">#REF!</definedName>
    <definedName name="_______a03" localSheetId="8">#REF!</definedName>
    <definedName name="_______a03">#REF!</definedName>
    <definedName name="_______A1" localSheetId="9">#REF!</definedName>
    <definedName name="_______A1" localSheetId="8">#REF!</definedName>
    <definedName name="_______A1">#REF!</definedName>
    <definedName name="_______A25">#REF!</definedName>
    <definedName name="_______CD1">#REF!</definedName>
    <definedName name="_______ddd1">#REF!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9">#REF!</definedName>
    <definedName name="_______JJ1" localSheetId="8">#REF!</definedName>
    <definedName name="_______JJ1">#REF!</definedName>
    <definedName name="_______K1" localSheetId="9">#REF!</definedName>
    <definedName name="_______K1" localSheetId="8">#REF!</definedName>
    <definedName name="_______K1" localSheetId="7">#REF!</definedName>
    <definedName name="_______K1" localSheetId="5">#REF!</definedName>
    <definedName name="_______K1" localSheetId="6">#REF!</definedName>
    <definedName name="_______K1">#REF!</definedName>
    <definedName name="_______L1" localSheetId="9">#REF!</definedName>
    <definedName name="_______L1" localSheetId="8">#REF!</definedName>
    <definedName name="_______L1" localSheetId="5">#REF!</definedName>
    <definedName name="_______L1" localSheetId="6">#REF!</definedName>
    <definedName name="_______L1">#REF!</definedName>
    <definedName name="_______L2" localSheetId="8">#REF!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9">#REF!</definedName>
    <definedName name="_______vz2" localSheetId="8">#REF!</definedName>
    <definedName name="_______vz2">#REF!</definedName>
    <definedName name="______a03" localSheetId="9">#REF!</definedName>
    <definedName name="______a03" localSheetId="8">#REF!</definedName>
    <definedName name="______a03">#REF!</definedName>
    <definedName name="______A1" localSheetId="9">#REF!</definedName>
    <definedName name="______A1" localSheetId="8">#REF!</definedName>
    <definedName name="______A1">#REF!</definedName>
    <definedName name="______A25">#REF!</definedName>
    <definedName name="______CD1">#REF!</definedName>
    <definedName name="______ddd1">#REF!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9">#REF!</definedName>
    <definedName name="______JJ1" localSheetId="8">#REF!</definedName>
    <definedName name="______JJ1">#REF!</definedName>
    <definedName name="______K1" localSheetId="9">#REF!</definedName>
    <definedName name="______K1" localSheetId="8">#REF!</definedName>
    <definedName name="______K1">#REF!</definedName>
    <definedName name="______L1" localSheetId="9">#REF!</definedName>
    <definedName name="______L1" localSheetId="8">#REF!</definedName>
    <definedName name="______L1">#REF!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9">#REF!</definedName>
    <definedName name="______vz2" localSheetId="8">#REF!</definedName>
    <definedName name="______vz2">#REF!</definedName>
    <definedName name="_____a03" localSheetId="9">#REF!</definedName>
    <definedName name="_____a03" localSheetId="8">#REF!</definedName>
    <definedName name="_____a03">#REF!</definedName>
    <definedName name="_____A1" localSheetId="9">#REF!</definedName>
    <definedName name="_____A1" localSheetId="8">#REF!</definedName>
    <definedName name="_____A1">#REF!</definedName>
    <definedName name="_____A25">#REF!</definedName>
    <definedName name="_____CD1">#REF!</definedName>
    <definedName name="_____ddd1">#REF!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9">#REF!</definedName>
    <definedName name="_____JJ1" localSheetId="8">#REF!</definedName>
    <definedName name="_____JJ1">#REF!</definedName>
    <definedName name="_____K1" localSheetId="9">#REF!</definedName>
    <definedName name="_____K1" localSheetId="8">#REF!</definedName>
    <definedName name="_____K1" localSheetId="7">#REF!</definedName>
    <definedName name="_____K1" localSheetId="5">#REF!</definedName>
    <definedName name="_____K1" localSheetId="6">#REF!</definedName>
    <definedName name="_____K1">#REF!</definedName>
    <definedName name="_____L1" localSheetId="9">#REF!</definedName>
    <definedName name="_____L1" localSheetId="8">#REF!</definedName>
    <definedName name="_____L1" localSheetId="5">#REF!</definedName>
    <definedName name="_____L1" localSheetId="6">#REF!</definedName>
    <definedName name="_____L1">#REF!</definedName>
    <definedName name="_____L2" localSheetId="8">#REF!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9">#REF!</definedName>
    <definedName name="_____vz2" localSheetId="8">#REF!</definedName>
    <definedName name="_____vz2">#REF!</definedName>
    <definedName name="____a03" localSheetId="9">#REF!</definedName>
    <definedName name="____a03" localSheetId="8">#REF!</definedName>
    <definedName name="____a03">#REF!</definedName>
    <definedName name="____A1" localSheetId="9">#REF!</definedName>
    <definedName name="____A1" localSheetId="8">#REF!</definedName>
    <definedName name="____A1">#REF!</definedName>
    <definedName name="____A25">#REF!</definedName>
    <definedName name="____CD1">#REF!</definedName>
    <definedName name="____ddd1">#REF!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9">#REF!</definedName>
    <definedName name="____JJ1" localSheetId="8">#REF!</definedName>
    <definedName name="____JJ1">#REF!</definedName>
    <definedName name="____K1" localSheetId="9">#REF!</definedName>
    <definedName name="____K1" localSheetId="8">#REF!</definedName>
    <definedName name="____K1" localSheetId="7">#REF!</definedName>
    <definedName name="____K1" localSheetId="5">#REF!</definedName>
    <definedName name="____K1" localSheetId="6">#REF!</definedName>
    <definedName name="____K1">#REF!</definedName>
    <definedName name="____L1" localSheetId="9">#REF!</definedName>
    <definedName name="____L1" localSheetId="8">#REF!</definedName>
    <definedName name="____L1" localSheetId="5">#REF!</definedName>
    <definedName name="____L1" localSheetId="6">#REF!</definedName>
    <definedName name="____L1">#REF!</definedName>
    <definedName name="____L2" localSheetId="8">#REF!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9">#REF!</definedName>
    <definedName name="____vz2" localSheetId="8">#REF!</definedName>
    <definedName name="____vz2">#REF!</definedName>
    <definedName name="___a03" localSheetId="9">#REF!</definedName>
    <definedName name="___a03" localSheetId="8">#REF!</definedName>
    <definedName name="___a03">#REF!</definedName>
    <definedName name="___A1" localSheetId="9">#REF!</definedName>
    <definedName name="___A1" localSheetId="8">#REF!</definedName>
    <definedName name="___A1">#REF!</definedName>
    <definedName name="___A25">#REF!</definedName>
    <definedName name="___CD1">#REF!</definedName>
    <definedName name="___ddd1">#REF!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9">#REF!</definedName>
    <definedName name="___JJ1" localSheetId="8">#REF!</definedName>
    <definedName name="___JJ1">#REF!</definedName>
    <definedName name="___K1" localSheetId="9">#REF!</definedName>
    <definedName name="___K1" localSheetId="8">#REF!</definedName>
    <definedName name="___K1" localSheetId="7">#REF!</definedName>
    <definedName name="___K1" localSheetId="5">#REF!</definedName>
    <definedName name="___K1" localSheetId="6">#REF!</definedName>
    <definedName name="___K1">#REF!</definedName>
    <definedName name="___L1" localSheetId="9">#REF!</definedName>
    <definedName name="___L1" localSheetId="8">#REF!</definedName>
    <definedName name="___L1" localSheetId="5">#REF!</definedName>
    <definedName name="___L1" localSheetId="6">#REF!</definedName>
    <definedName name="___L1">#REF!</definedName>
    <definedName name="___L2" localSheetId="8">#REF!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9">#REF!</definedName>
    <definedName name="___vz2" localSheetId="8">#REF!</definedName>
    <definedName name="___vz2">#REF!</definedName>
    <definedName name="__a03" localSheetId="9">#REF!</definedName>
    <definedName name="__a03" localSheetId="8">#REF!</definedName>
    <definedName name="__a03">#REF!</definedName>
    <definedName name="__A1" localSheetId="9">#REF!</definedName>
    <definedName name="__A1" localSheetId="8">#REF!</definedName>
    <definedName name="__A1">#REF!</definedName>
    <definedName name="__A25">#REF!</definedName>
    <definedName name="__CD1">#REF!</definedName>
    <definedName name="__ddd1">#REF!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9">#REF!</definedName>
    <definedName name="__JJ1" localSheetId="8">#REF!</definedName>
    <definedName name="__JJ1">#REF!</definedName>
    <definedName name="__K1" localSheetId="9">#REF!</definedName>
    <definedName name="__K1" localSheetId="8">#REF!</definedName>
    <definedName name="__K1">#REF!</definedName>
    <definedName name="__L1" localSheetId="9">#REF!</definedName>
    <definedName name="__L1" localSheetId="8">#REF!</definedName>
    <definedName name="__L1">#REF!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9">#REF!</definedName>
    <definedName name="__vz2" localSheetId="8">#REF!</definedName>
    <definedName name="__vz2">#REF!</definedName>
    <definedName name="_a03" localSheetId="9">#REF!</definedName>
    <definedName name="_a03" localSheetId="8">#REF!</definedName>
    <definedName name="_a03">#REF!</definedName>
    <definedName name="_A1" localSheetId="9">#REF!</definedName>
    <definedName name="_A1" localSheetId="8">#REF!</definedName>
    <definedName name="_A1">#REF!</definedName>
    <definedName name="_A25">#REF!</definedName>
    <definedName name="_CD1">#REF!</definedName>
    <definedName name="_ddd1">#REF!</definedName>
    <definedName name="_fc" localSheetId="8">#REF!</definedName>
    <definedName name="_fc" localSheetId="7">#REF!</definedName>
    <definedName name="_fc" localSheetId="5">#REF!</definedName>
    <definedName name="_fc" localSheetId="6">#REF!</definedName>
    <definedName name="_fc">#REF!</definedName>
    <definedName name="_xlnm._FilterDatabase" localSheetId="2" hidden="1">FINANCIERO!$A$4:$R$188</definedName>
    <definedName name="_G2" localSheetId="9">#REF!</definedName>
    <definedName name="_G2" localSheetId="8">#REF!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9">#REF!</definedName>
    <definedName name="_JJ1" localSheetId="8">#REF!</definedName>
    <definedName name="_JJ1">#REF!</definedName>
    <definedName name="_K1" localSheetId="9">#REF!</definedName>
    <definedName name="_K1" localSheetId="8">#REF!</definedName>
    <definedName name="_K1" localSheetId="7">#REF!</definedName>
    <definedName name="_K1" localSheetId="5">#REF!</definedName>
    <definedName name="_K1" localSheetId="6">#REF!</definedName>
    <definedName name="_K1">#REF!</definedName>
    <definedName name="_L1" localSheetId="9">#REF!</definedName>
    <definedName name="_L1" localSheetId="8">#REF!</definedName>
    <definedName name="_L1" localSheetId="5">#REF!</definedName>
    <definedName name="_L1" localSheetId="6">#REF!</definedName>
    <definedName name="_L1">#REF!</definedName>
    <definedName name="_L2" localSheetId="8">#REF!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9" hidden="1">#REF!</definedName>
    <definedName name="_Regression_Out" localSheetId="8" hidden="1">#REF!</definedName>
    <definedName name="_Regression_Out" localSheetId="7" hidden="1">#REF!</definedName>
    <definedName name="_Regression_Out" localSheetId="5" hidden="1">#REF!</definedName>
    <definedName name="_Regression_Out" localSheetId="6" hidden="1">#REF!</definedName>
    <definedName name="_Regression_Out" hidden="1">#REF!</definedName>
    <definedName name="_Regression_X" localSheetId="9" hidden="1">#REF!</definedName>
    <definedName name="_Regression_X" localSheetId="8" hidden="1">#REF!</definedName>
    <definedName name="_Regression_X" localSheetId="5" hidden="1">#REF!</definedName>
    <definedName name="_Regression_X" localSheetId="6" hidden="1">#REF!</definedName>
    <definedName name="_Regression_X" hidden="1">#REF!</definedName>
    <definedName name="_Regression_Y" localSheetId="9" hidden="1">#REF!</definedName>
    <definedName name="_Regression_Y" localSheetId="8" hidden="1">#REF!</definedName>
    <definedName name="_Regression_Y" localSheetId="5" hidden="1">#REF!</definedName>
    <definedName name="_Regression_Y" localSheetId="6" hidden="1">#REF!</definedName>
    <definedName name="_Regression_Y" hidden="1">#REF!</definedName>
    <definedName name="_vz2">#REF!</definedName>
    <definedName name="A">#REF!</definedName>
    <definedName name="A_IMPRESIÓN_IM" localSheetId="5">#REF!</definedName>
    <definedName name="A_IMPRESIÓN_IM">#REF!</definedName>
    <definedName name="AAA">#REF!</definedName>
    <definedName name="AAAA">#REF!</definedName>
    <definedName name="AAAAA">#REF!</definedName>
    <definedName name="AAAAAA">#REF!</definedName>
    <definedName name="AAIU" localSheetId="9">'[3]Resumen resul laborat'!$AE$5:$AE$33</definedName>
    <definedName name="AAIU" localSheetId="8">'[3]Resumen resul laborat'!$AE$5:$AE$33</definedName>
    <definedName name="AAIU" localSheetId="7">'[3]Resumen resul laborat'!$AE$5:$AE$33</definedName>
    <definedName name="AAIU" localSheetId="5">'[3]Resumen resul laborat'!$AE$5:$AE$33</definedName>
    <definedName name="AAIU" localSheetId="6">'[4]Resumen resul laborat'!$AE$5:$AE$33</definedName>
    <definedName name="AAIU">'[3]Resumen resul laborat'!$AE$5:$AE$33</definedName>
    <definedName name="Acumulado">[5]Datos!$S$3:$S$1912</definedName>
    <definedName name="AIU" localSheetId="9">'[3]Resumen resul laborat'!$AE$5:$AE$34</definedName>
    <definedName name="AIU" localSheetId="8">'[3]Resumen resul laborat'!$AE$5:$AE$34</definedName>
    <definedName name="AIU" localSheetId="7">'[3]Resumen resul laborat'!$AE$5:$AE$34</definedName>
    <definedName name="AIU" localSheetId="5">'[3]Resumen resul laborat'!$AE$5:$AE$34</definedName>
    <definedName name="AIU" localSheetId="6">'[4]Resumen resul laborat'!$AE$5:$AE$34</definedName>
    <definedName name="AIU">'[3]Resumen resul laborat'!$AE$5:$AE$34</definedName>
    <definedName name="alaaa" localSheetId="9">#REF!</definedName>
    <definedName name="alaaa" localSheetId="8">#REF!</definedName>
    <definedName name="alaaa">#REF!</definedName>
    <definedName name="alarg" localSheetId="9">#REF!</definedName>
    <definedName name="alarg" localSheetId="8">#REF!</definedName>
    <definedName name="alarg">#REF!</definedName>
    <definedName name="_xlnm.Print_Area" localSheetId="2">FINANCIERO!$B$1:$L$212</definedName>
    <definedName name="_xlnm.Print_Area" localSheetId="1">Predial!$A$1:$I$46</definedName>
    <definedName name="_xlnm.Print_Area" localSheetId="9">'Registro fotográfico ambiental'!$A$1:$K$188</definedName>
    <definedName name="_xlnm.Print_Area" localSheetId="8">'Registro fotográfico OyM'!$B$1:$M$101</definedName>
    <definedName name="_xlnm.Print_Area" localSheetId="4">'Registro fotográfico redes'!$B$1:$L$85</definedName>
    <definedName name="_xlnm.Print_Area" localSheetId="5">'Registro fotográfico técnico'!$B$1:$M$104</definedName>
    <definedName name="_xlnm.Print_Area" localSheetId="6">'Registro fotográfico túnel'!$A$1:$L$197</definedName>
    <definedName name="_xlnm.Print_Area">#N/A</definedName>
    <definedName name="arena" localSheetId="9">#REF!</definedName>
    <definedName name="arena" localSheetId="8">#REF!</definedName>
    <definedName name="arena">#REF!</definedName>
    <definedName name="asentamiento" localSheetId="9">#REF!</definedName>
    <definedName name="asentamiento" localSheetId="8">#REF!</definedName>
    <definedName name="asentamiento" localSheetId="7">#REF!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9">[1]DATOS!#REF!</definedName>
    <definedName name="bbb" localSheetId="8">[1]DATOS!#REF!</definedName>
    <definedName name="bbb" localSheetId="7">[1]DATOS!#REF!</definedName>
    <definedName name="bbb" localSheetId="3">[1]DATOS!#REF!</definedName>
    <definedName name="bbb" localSheetId="5">[1]DATOS!#REF!</definedName>
    <definedName name="bbb">[1]DATOS!#REF!</definedName>
    <definedName name="boor" localSheetId="9" hidden="1">[7]L!#REF!</definedName>
    <definedName name="boor" localSheetId="8" hidden="1">[7]L!#REF!</definedName>
    <definedName name="boor" hidden="1">[7]L!#REF!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9">#REF!</definedName>
    <definedName name="BuiltIn_Print_Titles___0___0___0___0___0" localSheetId="8">#REF!</definedName>
    <definedName name="BuiltIn_Print_Titles___0___0___0___0___0" localSheetId="7">#REF!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9">#REF!</definedName>
    <definedName name="C.B.R._USME" localSheetId="8">#REF!</definedName>
    <definedName name="C.B.R._USME">#REF!</definedName>
    <definedName name="C.B.R_Usme" localSheetId="9">#REF!</definedName>
    <definedName name="C.B.R_Usme">#REF!</definedName>
    <definedName name="C_B_R_USME">#REF!</definedName>
    <definedName name="CARACTERIZACION">#REF!</definedName>
    <definedName name="CARAS">#REF!</definedName>
    <definedName name="CARASF2">#REF!</definedName>
    <definedName name="CARLOS">#REF!</definedName>
    <definedName name="CARSF1">#REF!</definedName>
    <definedName name="CARSF2">#REF!</definedName>
    <definedName name="CARSF3">#REF!</definedName>
    <definedName name="Cimiento" localSheetId="9">[8]Hoja2!$C$9:$C$11</definedName>
    <definedName name="Cimiento" localSheetId="8">[8]Hoja2!$C$9:$C$11</definedName>
    <definedName name="Cimiento">[8]Hoja2!$C$9:$C$11</definedName>
    <definedName name="Clasificacion">[9]!Clasificacion</definedName>
    <definedName name="CLASIFICACION1" localSheetId="9">#REF!</definedName>
    <definedName name="CLASIFICACION1" localSheetId="8">#REF!</definedName>
    <definedName name="CLASIFICACION1">#REF!</definedName>
    <definedName name="CLASIFICACION2" localSheetId="9">#REF!</definedName>
    <definedName name="CLASIFICACION2" localSheetId="8">#REF!</definedName>
    <definedName name="CLASIFICACION2">#REF!</definedName>
    <definedName name="CONCEPTO">'[6]Consignaciones CCS'!$G$8:$G$379</definedName>
    <definedName name="COTA" localSheetId="9">#REF!</definedName>
    <definedName name="COTA" localSheetId="8">#REF!</definedName>
    <definedName name="COTA">#REF!</definedName>
    <definedName name="CUA" localSheetId="9">#REF!</definedName>
    <definedName name="CUA" localSheetId="8">#REF!</definedName>
    <definedName name="CUA" localSheetId="7">#REF!</definedName>
    <definedName name="CUA" localSheetId="5">#REF!</definedName>
    <definedName name="CUA" localSheetId="6">#REF!</definedName>
    <definedName name="CUA">#REF!</definedName>
    <definedName name="CUADR1" localSheetId="9">#REF!</definedName>
    <definedName name="CUADR1">#REF!</definedName>
    <definedName name="CUADRO" localSheetId="8">#REF!</definedName>
    <definedName name="CUADRO" localSheetId="5">#REF!</definedName>
    <definedName name="CUADRO" localSheetId="6">#REF!</definedName>
    <definedName name="CUADRO">#REF!</definedName>
    <definedName name="CVBBB">#REF!</definedName>
    <definedName name="D" localSheetId="8">#REF!</definedName>
    <definedName name="D" localSheetId="5">#REF!</definedName>
    <definedName name="D" localSheetId="6">#REF!</definedName>
    <definedName name="D">#REF!</definedName>
    <definedName name="Datos" localSheetId="5">#REF!</definedName>
    <definedName name="Datos">#REF!</definedName>
    <definedName name="dddd">#REF!</definedName>
    <definedName name="DEPARTAMENTO" localSheetId="5">#REF!</definedName>
    <definedName name="DEPARTAMENTO">#REF!</definedName>
    <definedName name="DEPARTAMENTO1" localSheetId="5">#REF!</definedName>
    <definedName name="DEPARTAMENTO1">#REF!</definedName>
    <definedName name="desc" localSheetId="1">[2]DATOS!$C$1:$C$65536</definedName>
    <definedName name="desc">[1]DATOS!$C$1:$C$65536</definedName>
    <definedName name="Descripcion">[5]Datos!$B$3:$B$16384</definedName>
    <definedName name="dgdgdg" localSheetId="9">#REF!</definedName>
    <definedName name="dgdgdg" localSheetId="8">#REF!</definedName>
    <definedName name="dgdgdg">#REF!</definedName>
    <definedName name="dgdgfe" localSheetId="9">#REF!</definedName>
    <definedName name="dgdgfe" localSheetId="8">#REF!</definedName>
    <definedName name="dgdgfe">#REF!</definedName>
    <definedName name="DIANA" localSheetId="9">#REF!</definedName>
    <definedName name="DIANA" localSheetId="8">#REF!</definedName>
    <definedName name="DIANA">#REF!</definedName>
    <definedName name="DISEÑOMARSHALL">#REF!</definedName>
    <definedName name="DIVISION">#N/A</definedName>
    <definedName name="DLKFK" localSheetId="9">#REF!</definedName>
    <definedName name="DLKFK" localSheetId="8">#REF!</definedName>
    <definedName name="DLKFK" localSheetId="7">#REF!</definedName>
    <definedName name="DLKFK" localSheetId="5">#REF!</definedName>
    <definedName name="DLKFK" localSheetId="6">#REF!</definedName>
    <definedName name="DLKFK">#REF!</definedName>
    <definedName name="ENE">#N/A</definedName>
    <definedName name="enero" localSheetId="2">[1]DATOS!#REF!</definedName>
    <definedName name="enero" localSheetId="9">[1]DATOS!#REF!</definedName>
    <definedName name="enero" localSheetId="8">[1]DATOS!#REF!</definedName>
    <definedName name="enero" localSheetId="7">[1]DATOS!#REF!</definedName>
    <definedName name="enero">[1]DATOS!#REF!</definedName>
    <definedName name="EQUIV" localSheetId="9">#REF!</definedName>
    <definedName name="EQUIV" localSheetId="8">#REF!</definedName>
    <definedName name="EQUIV">#REF!</definedName>
    <definedName name="Estabilidad" localSheetId="9">#REF!</definedName>
    <definedName name="Estabilidad" localSheetId="8">#REF!</definedName>
    <definedName name="Estabilidad">#REF!</definedName>
    <definedName name="Estabilidad2" localSheetId="9">#REF!</definedName>
    <definedName name="Estabilidad2" localSheetId="8">#REF!</definedName>
    <definedName name="Estabilidad2">#REF!</definedName>
    <definedName name="Estabilidad3">#REF!</definedName>
    <definedName name="ESTACION">'[6]Consignaciones CCS'!$A$8:$A$379</definedName>
    <definedName name="extracciom" localSheetId="9">#REF!</definedName>
    <definedName name="extracciom" localSheetId="8">#REF!</definedName>
    <definedName name="extracciom" localSheetId="7">#REF!</definedName>
    <definedName name="extracciom" localSheetId="5">#REF!</definedName>
    <definedName name="extracciom" localSheetId="6">#REF!</definedName>
    <definedName name="extracciom">#REF!</definedName>
    <definedName name="FacCorec2" localSheetId="9">#REF!</definedName>
    <definedName name="FacCorec2" localSheetId="8">#REF!</definedName>
    <definedName name="FacCorec2">#REF!</definedName>
    <definedName name="Faccorec3" localSheetId="9">#REF!</definedName>
    <definedName name="Faccorec3">#REF!</definedName>
    <definedName name="FactCorrecc">#REF!</definedName>
    <definedName name="feb" localSheetId="2">#REF!</definedName>
    <definedName name="feb" localSheetId="7">#REF!</definedName>
    <definedName name="feb">#REF!</definedName>
    <definedName name="fecha" localSheetId="1">[2]DATOS!$D$1:$D$65536</definedName>
    <definedName name="fecha">[1]DATOS!$D$1:$D$65536</definedName>
    <definedName name="FECHA_DE_RECAUDO">'[6]Consignaciones CCS'!$C$8:$C$379</definedName>
    <definedName name="fecha_inicio" localSheetId="2">'[10]Ficha Financiera'!$L$12</definedName>
    <definedName name="fecha_inicio" localSheetId="1">'[11]Ficha Financiera'!$L$12</definedName>
    <definedName name="fecha_inicio" localSheetId="9">'[12]Ficha Financiera'!$L$12</definedName>
    <definedName name="fecha_inicio" localSheetId="3">'[13]Ficha Financiera'!$L$12</definedName>
    <definedName name="fecha_inicio" localSheetId="5">'[14]Ficha Financiera'!$L$12</definedName>
    <definedName name="fecha_inicio">'[14]Ficha Financiera'!$L$12</definedName>
    <definedName name="fff" localSheetId="9">#REF!</definedName>
    <definedName name="fff" localSheetId="8">#REF!</definedName>
    <definedName name="fff">#REF!</definedName>
    <definedName name="FIRMA" localSheetId="9">INDIRECTOMIFOTO</definedName>
    <definedName name="FIRMA" localSheetId="8">INDIRECTOMIFOTO</definedName>
    <definedName name="FIRMA">INDIRECTOMIFOTO</definedName>
    <definedName name="Flujo" localSheetId="9">#REF!</definedName>
    <definedName name="Flujo" localSheetId="8">#REF!</definedName>
    <definedName name="Flujo">#REF!</definedName>
    <definedName name="Flujo2" localSheetId="9">#REF!</definedName>
    <definedName name="Flujo2" localSheetId="8">#REF!</definedName>
    <definedName name="Flujo2">#REF!</definedName>
    <definedName name="Flujo3" localSheetId="9">#REF!</definedName>
    <definedName name="Flujo3" localSheetId="8">#REF!</definedName>
    <definedName name="Flujo3">#REF!</definedName>
    <definedName name="Fondo">#REF!</definedName>
    <definedName name="fot" localSheetId="2">[1]DATOS!#REF!</definedName>
    <definedName name="fot" localSheetId="1">[2]DATOS!#REF!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9">[1]DATOS!#REF!</definedName>
    <definedName name="ft" localSheetId="8">[1]DATOS!#REF!</definedName>
    <definedName name="ft" localSheetId="7">[1]DATOS!#REF!</definedName>
    <definedName name="ft" localSheetId="3">[1]DATOS!#REF!</definedName>
    <definedName name="ft" localSheetId="5">[1]DATOS!#REF!</definedName>
    <definedName name="ft">[1]DATOS!#REF!</definedName>
    <definedName name="Fuente" localSheetId="9">[15]Datos!#REF!</definedName>
    <definedName name="Fuente" localSheetId="8">[15]Datos!#REF!</definedName>
    <definedName name="Fuente">[15]Datos!#REF!</definedName>
    <definedName name="GBR" localSheetId="2">#REF!</definedName>
    <definedName name="GBR" localSheetId="1">#REF!</definedName>
    <definedName name="GBR" localSheetId="9">#REF!</definedName>
    <definedName name="GBR" localSheetId="8">#REF!</definedName>
    <definedName name="GBR" localSheetId="7">#REF!</definedName>
    <definedName name="GBR" localSheetId="3">#REF!</definedName>
    <definedName name="GBR" localSheetId="5">#REF!</definedName>
    <definedName name="GBR" localSheetId="6">#REF!</definedName>
    <definedName name="GBR">#REF!</definedName>
    <definedName name="gdgd" localSheetId="9">#REF!</definedName>
    <definedName name="gdgd" localSheetId="8">#REF!</definedName>
    <definedName name="gdgd">#REF!</definedName>
    <definedName name="ggg">'[16]AG-MOD-FINURA'!$I$14:$J$22</definedName>
    <definedName name="gol" localSheetId="1">[2]DATOS!$E$1:$E$65536</definedName>
    <definedName name="gol">[1]DATOS!$E$1:$E$65536</definedName>
    <definedName name="GRA" localSheetId="9">#REF!</definedName>
    <definedName name="GRA" localSheetId="8">#REF!</definedName>
    <definedName name="GRA">#REF!</definedName>
    <definedName name="gradacion" localSheetId="9">#REF!</definedName>
    <definedName name="gradacion" localSheetId="8">#REF!</definedName>
    <definedName name="gradacion" localSheetId="7">#REF!</definedName>
    <definedName name="gradacion" localSheetId="5">#REF!</definedName>
    <definedName name="gradacion" localSheetId="6">#REF!</definedName>
    <definedName name="gradacion">#REF!</definedName>
    <definedName name="GRAF" localSheetId="9">#REF!</definedName>
    <definedName name="GRAF">#REF!</definedName>
    <definedName name="graNo">#REF!</definedName>
    <definedName name="h" localSheetId="7">[1]DATOS!#REF!</definedName>
    <definedName name="h" localSheetId="5">[1]DATOS!#REF!</definedName>
    <definedName name="h">[1]DATOS!#REF!</definedName>
    <definedName name="hhhhh" localSheetId="2">[1]DATOS!#REF!</definedName>
    <definedName name="hhhhh" localSheetId="1">[2]DATOS!#REF!</definedName>
    <definedName name="hhhhh" localSheetId="7">[1]DATOS!#REF!</definedName>
    <definedName name="hhhhh" localSheetId="3">[1]DATOS!#REF!</definedName>
    <definedName name="hhhhh">[1]DATOS!#REF!</definedName>
    <definedName name="humedades" localSheetId="9">#REF!</definedName>
    <definedName name="humedades" localSheetId="8">#REF!</definedName>
    <definedName name="humedades" localSheetId="7">#REF!</definedName>
    <definedName name="humedades" localSheetId="5">#REF!</definedName>
    <definedName name="humedades" localSheetId="6">#REF!</definedName>
    <definedName name="humedades">#REF!</definedName>
    <definedName name="IMAGEN1" localSheetId="9">'[17]Datos Generales'!#REF!</definedName>
    <definedName name="IMAGEN1" localSheetId="8">'[17]Datos Generales'!#REF!</definedName>
    <definedName name="IMAGEN1">'[17]Datos Generales'!#REF!</definedName>
    <definedName name="IMAGEN2" localSheetId="9">'[17]Datos Generales'!#REF!</definedName>
    <definedName name="IMAGEN2" localSheetId="8">'[17]Datos Generales'!#REF!</definedName>
    <definedName name="IMAGEN2">'[17]Datos Generales'!#REF!</definedName>
    <definedName name="inf" localSheetId="2">#REF!</definedName>
    <definedName name="inf" localSheetId="1">#REF!</definedName>
    <definedName name="inf" localSheetId="9">#REF!</definedName>
    <definedName name="inf" localSheetId="8">#REF!</definedName>
    <definedName name="inf" localSheetId="3">#REF!</definedName>
    <definedName name="inf" localSheetId="5">#REF!</definedName>
    <definedName name="inf" localSheetId="6">#REF!</definedName>
    <definedName name="inf">#REF!</definedName>
    <definedName name="informe" localSheetId="9">#REF!</definedName>
    <definedName name="informe" localSheetId="8">#REF!</definedName>
    <definedName name="informe" localSheetId="5">#REF!</definedName>
    <definedName name="informe" localSheetId="6">#REF!</definedName>
    <definedName name="informe">#REF!</definedName>
    <definedName name="J" localSheetId="9">#REF!</definedName>
    <definedName name="J">#REF!</definedName>
    <definedName name="J.J">#REF!</definedName>
    <definedName name="J.J5">#REF!</definedName>
    <definedName name="JAIME">#REF!</definedName>
    <definedName name="JJUUI">#REF!</definedName>
    <definedName name="JKJK">#REF!</definedName>
    <definedName name="jose">#REF!</definedName>
    <definedName name="JOTA">#N/A</definedName>
    <definedName name="JUAN" localSheetId="9">#REF!</definedName>
    <definedName name="JUAN" localSheetId="8">#REF!</definedName>
    <definedName name="JUAN">#REF!</definedName>
    <definedName name="JUANA" localSheetId="9">#REF!</definedName>
    <definedName name="JUANA" localSheetId="8">#REF!</definedName>
    <definedName name="JUANA">#REF!</definedName>
    <definedName name="julio" localSheetId="9">#REF!</definedName>
    <definedName name="julio" localSheetId="8">#REF!</definedName>
    <definedName name="julio">#REF!</definedName>
    <definedName name="JUSNSNS">#REF!</definedName>
    <definedName name="K" localSheetId="5">#REF!</definedName>
    <definedName name="K">#REF!</definedName>
    <definedName name="KIU" localSheetId="5">#REF!</definedName>
    <definedName name="KIU">#REF!</definedName>
    <definedName name="KJUI" localSheetId="5">#REF!</definedName>
    <definedName name="KJUI">#REF!</definedName>
    <definedName name="KOIUIYUU" localSheetId="5">#REF!</definedName>
    <definedName name="KOIUIYUU">#REF!</definedName>
    <definedName name="KOP" localSheetId="5">#REF!</definedName>
    <definedName name="KOP">#REF!</definedName>
    <definedName name="KSUDUD">#REF!</definedName>
    <definedName name="l">#REF!</definedName>
    <definedName name="lectarcilla1">#REF!</definedName>
    <definedName name="lectarcilla2">#REF!</definedName>
    <definedName name="lectarcilla3">#REF!</definedName>
    <definedName name="lectarena1">#REF!</definedName>
    <definedName name="lectarena2">#REF!</definedName>
    <definedName name="lectarena3">#REF!</definedName>
    <definedName name="LGSDGHGGSDF">#REF!</definedName>
    <definedName name="lim.lim" localSheetId="2">[1]DATOS!#REF!</definedName>
    <definedName name="lim.lim" localSheetId="1">[2]DATOS!#REF!</definedName>
    <definedName name="lim.lim" localSheetId="3">[1]DATOS!#REF!</definedName>
    <definedName name="lim.lim" localSheetId="5">[1]DATOS!#REF!</definedName>
    <definedName name="lim.lim">[1]DATOS!#REF!</definedName>
    <definedName name="limite" localSheetId="9">#REF!</definedName>
    <definedName name="limite" localSheetId="8">#REF!</definedName>
    <definedName name="limite">#REF!</definedName>
    <definedName name="listado">[18]LISTADO!$A$5:$F$329</definedName>
    <definedName name="ll" localSheetId="1">[2]DATOS!$W$1:$W$65536</definedName>
    <definedName name="ll">[1]DATOS!$W$1:$W$65536</definedName>
    <definedName name="lll" localSheetId="9">#REF!</definedName>
    <definedName name="lll" localSheetId="8">#REF!</definedName>
    <definedName name="lll">#REF!</definedName>
    <definedName name="locali" localSheetId="9">#REF!</definedName>
    <definedName name="locali" localSheetId="8">#REF!</definedName>
    <definedName name="locali">#REF!</definedName>
    <definedName name="LUIS" localSheetId="9">#REF!</definedName>
    <definedName name="LUIS" localSheetId="8">#REF!</definedName>
    <definedName name="LUIS">#REF!</definedName>
    <definedName name="LUISJUAN">#REF!</definedName>
    <definedName name="lusi">#REF!</definedName>
    <definedName name="MATRIZ.D" localSheetId="8">#REF!</definedName>
    <definedName name="MATRIZ.D" localSheetId="7">#REF!</definedName>
    <definedName name="MATRIZ.D" localSheetId="5">#REF!</definedName>
    <definedName name="MATRIZ.D" localSheetId="6">#REF!</definedName>
    <definedName name="MATRIZ.D">#REF!</definedName>
    <definedName name="MATRIZ.E" localSheetId="7">'[19]EXTRACCIÓN (PARAFINADA)'!#REF!</definedName>
    <definedName name="MATRIZ.E" localSheetId="5">'[19]EXTRACCIÓN (PARAFINADA)'!#REF!</definedName>
    <definedName name="MATRIZ.E">'[19]EXTRACCIÓN (PARAFINADA)'!#REF!</definedName>
    <definedName name="MATRIZ.F" localSheetId="9">#REF!</definedName>
    <definedName name="MATRIZ.F" localSheetId="8">#REF!</definedName>
    <definedName name="MATRIZ.F">#REF!</definedName>
    <definedName name="MAURICIO" localSheetId="9">#REF!</definedName>
    <definedName name="MAURICIO" localSheetId="8">#REF!</definedName>
    <definedName name="MAURICIO">#REF!</definedName>
    <definedName name="msdmsdn" localSheetId="9">#REF!</definedName>
    <definedName name="msdmsdn" localSheetId="8">#REF!</definedName>
    <definedName name="msdmsdn" localSheetId="7">#REF!</definedName>
    <definedName name="msdmsdn" localSheetId="5">#REF!</definedName>
    <definedName name="msdmsdn" localSheetId="6">#REF!</definedName>
    <definedName name="msdmsdn">#REF!</definedName>
    <definedName name="MuestNo">[20]DATOS!$AI$3:$AI$1127</definedName>
    <definedName name="muestra" localSheetId="9">#REF!</definedName>
    <definedName name="muestra" localSheetId="8">#REF!</definedName>
    <definedName name="muestra">#REF!</definedName>
    <definedName name="MuestraNo" localSheetId="9">#REF!</definedName>
    <definedName name="MuestraNo" localSheetId="8">#REF!</definedName>
    <definedName name="MuestraNo">#REF!</definedName>
    <definedName name="NLL">"Rectángulo 9"</definedName>
    <definedName name="nnnnnn">[21]Lista!$B$17:$B$37</definedName>
    <definedName name="NORMA" localSheetId="9">#REF!</definedName>
    <definedName name="NORMA" localSheetId="8">#REF!</definedName>
    <definedName name="NORMA" localSheetId="7">#REF!</definedName>
    <definedName name="NORMA" localSheetId="5">#REF!</definedName>
    <definedName name="NORMA" localSheetId="6">#REF!</definedName>
    <definedName name="NORMA">#REF!</definedName>
    <definedName name="NORMAS" localSheetId="9">#REF!</definedName>
    <definedName name="NORMAS" localSheetId="8">#REF!</definedName>
    <definedName name="NORMAS" localSheetId="5">#REF!</definedName>
    <definedName name="NORMAS" localSheetId="6">#REF!</definedName>
    <definedName name="NORMAS">#REF!</definedName>
    <definedName name="NOTAS" localSheetId="9">#REF!</definedName>
    <definedName name="NOTAS">#REF!</definedName>
    <definedName name="ÑÑ">#REF!</definedName>
    <definedName name="ÑÑÑ">#REF!</definedName>
    <definedName name="obra" localSheetId="1">[2]DATOS!$B$1:$B$65536</definedName>
    <definedName name="obra">[1]DATOS!$B$1:$B$65536</definedName>
    <definedName name="observaciones" localSheetId="9">#REF!</definedName>
    <definedName name="observaciones" localSheetId="8">#REF!</definedName>
    <definedName name="observaciones">#REF!</definedName>
    <definedName name="P" localSheetId="9">#REF!</definedName>
    <definedName name="P" localSheetId="8">#REF!</definedName>
    <definedName name="P" localSheetId="7">#REF!</definedName>
    <definedName name="P" localSheetId="5">#REF!</definedName>
    <definedName name="P" localSheetId="6">#REF!</definedName>
    <definedName name="P">#REF!</definedName>
    <definedName name="perf" localSheetId="9">#REF!</definedName>
    <definedName name="perf">#REF!</definedName>
    <definedName name="perfil">#REF!</definedName>
    <definedName name="Peso1A">#REF!</definedName>
    <definedName name="Peso2A">#REF!</definedName>
    <definedName name="Peso3">#REF!</definedName>
    <definedName name="Peso4">#REF!</definedName>
    <definedName name="Pesoagua2">#REF!</definedName>
    <definedName name="Pesoagua3">#REF!</definedName>
    <definedName name="PesoAire">#REF!</definedName>
    <definedName name="PesoAire2">#REF!</definedName>
    <definedName name="Pesoaire3">#REF!</definedName>
    <definedName name="Pesoenagua">#REF!</definedName>
    <definedName name="Pesoparaf3">#REF!</definedName>
    <definedName name="Pesoparafinada">#REF!</definedName>
    <definedName name="PesoParf2">#REF!</definedName>
    <definedName name="PESORETCF1">#REF!</definedName>
    <definedName name="PESORETCF2">#REF!</definedName>
    <definedName name="PESORETCF3">#REF!</definedName>
    <definedName name="plano">#REF!</definedName>
    <definedName name="planta">#REF!</definedName>
    <definedName name="porcentaje_aditivo" localSheetId="8">#REF!</definedName>
    <definedName name="porcentaje_aditivo" localSheetId="5">#REF!</definedName>
    <definedName name="porcentaje_aditivo" localSheetId="6">#REF!</definedName>
    <definedName name="porcentaje_aditivo">#REF!</definedName>
    <definedName name="porcentaje_finos" localSheetId="8">#REF!</definedName>
    <definedName name="porcentaje_finos" localSheetId="5">#REF!</definedName>
    <definedName name="porcentaje_finos" localSheetId="6">#REF!</definedName>
    <definedName name="porcentaje_finos">#REF!</definedName>
    <definedName name="porcentaje_gruesos" localSheetId="5">#REF!</definedName>
    <definedName name="porcentaje_gruesos">#REF!</definedName>
    <definedName name="PPP">#REF!</definedName>
    <definedName name="PPPP">#REF!</definedName>
    <definedName name="PPPPP">#REF!</definedName>
    <definedName name="PR" localSheetId="5">#REF!</definedName>
    <definedName name="PR">#REF!</definedName>
    <definedName name="PRINT_AREA">#N/A</definedName>
    <definedName name="PRINT_TITLES">#N/A</definedName>
    <definedName name="PRINT_TITLES_MI">#N/A</definedName>
    <definedName name="Proceso" localSheetId="9">#REF!</definedName>
    <definedName name="Proceso" localSheetId="8">#REF!</definedName>
    <definedName name="Proceso" localSheetId="5">#REF!</definedName>
    <definedName name="Proceso">#REF!</definedName>
    <definedName name="Procesos" localSheetId="9">#REF!</definedName>
    <definedName name="Procesos" localSheetId="8">#REF!</definedName>
    <definedName name="Procesos" localSheetId="5">#REF!</definedName>
    <definedName name="Procesos">#REF!</definedName>
    <definedName name="propiedades" localSheetId="9">#REF!</definedName>
    <definedName name="propiedades" localSheetId="8">#REF!</definedName>
    <definedName name="propiedades" localSheetId="5">#REF!</definedName>
    <definedName name="propiedades">#REF!</definedName>
    <definedName name="proporciones" localSheetId="5">#REF!</definedName>
    <definedName name="proporciones">#REF!</definedName>
    <definedName name="proporciones_volumen" localSheetId="5">#REF!</definedName>
    <definedName name="proporciones_volumen">#REF!</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8">#REF!</definedName>
    <definedName name="reg" localSheetId="7">#REF!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[1]DATOS!#REF!</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9">#REF!</definedName>
    <definedName name="reteido38" localSheetId="8">#REF!</definedName>
    <definedName name="reteido38">#REF!</definedName>
    <definedName name="reteido4" localSheetId="9">#REF!</definedName>
    <definedName name="reteido4" localSheetId="8">#REF!</definedName>
    <definedName name="reteido4">#REF!</definedName>
    <definedName name="Retenido1" localSheetId="9">#REF!</definedName>
    <definedName name="Retenido1" localSheetId="8">#REF!</definedName>
    <definedName name="Retenido1">#REF!</definedName>
    <definedName name="Retenido10">#REF!</definedName>
    <definedName name="Retenido100">#REF!</definedName>
    <definedName name="retenido112">#REF!</definedName>
    <definedName name="retenido12">#REF!</definedName>
    <definedName name="Retenido200">#REF!</definedName>
    <definedName name="Retenido30">#REF!</definedName>
    <definedName name="Retenido34">#REF!</definedName>
    <definedName name="retenido38">#REF!</definedName>
    <definedName name="Retenido38.">#REF!</definedName>
    <definedName name="retenido4">#REF!</definedName>
    <definedName name="retenido40">#REF!</definedName>
    <definedName name="Retenido50">#REF!</definedName>
    <definedName name="Retenido8">#REF!</definedName>
    <definedName name="Retenido80">#REF!</definedName>
    <definedName name="RF" localSheetId="1">[2]DATOS!#REF!</definedName>
    <definedName name="RF" localSheetId="5">[1]DATOS!#REF!</definedName>
    <definedName name="RF">[1]DATOS!#REF!</definedName>
    <definedName name="RICE" localSheetId="9">#REF!</definedName>
    <definedName name="RICE" localSheetId="8">#REF!</definedName>
    <definedName name="RICE">#REF!</definedName>
    <definedName name="Roughness_Processed_BTAVCICD1" localSheetId="9">#REF!</definedName>
    <definedName name="Roughness_Processed_BTAVCICD1" localSheetId="8">#REF!</definedName>
    <definedName name="Roughness_Processed_BTAVCICD1">#REF!</definedName>
    <definedName name="s4o" localSheetId="9">#REF!</definedName>
    <definedName name="s4o" localSheetId="8">#REF!</definedName>
    <definedName name="s4o" localSheetId="7">#REF!</definedName>
    <definedName name="s4o">#REF!</definedName>
    <definedName name="sdsd">[22]Lista!$B$4:$B$12</definedName>
    <definedName name="sjdjhfdggf" localSheetId="9">#REF!</definedName>
    <definedName name="sjdjhfdggf" localSheetId="8">#REF!</definedName>
    <definedName name="sjdjhfdggf">#REF!</definedName>
    <definedName name="slskjsjs" localSheetId="9">#REF!</definedName>
    <definedName name="slskjsjs" localSheetId="8">#REF!</definedName>
    <definedName name="slskjsjs">#REF!</definedName>
    <definedName name="smi" localSheetId="9">#REF!</definedName>
    <definedName name="smi" localSheetId="8">#REF!</definedName>
    <definedName name="smi">#REF!</definedName>
    <definedName name="sojo">#REF!</definedName>
    <definedName name="SOLI">#REF!</definedName>
    <definedName name="sososo">#REF!</definedName>
    <definedName name="ssdd">[22]Lista!$B$23:$B$43</definedName>
    <definedName name="SUELO" localSheetId="9">[23]Hoja1!$B$3:$B$5</definedName>
    <definedName name="SUELO">[24]Hoja1!$B$3:$B$5</definedName>
    <definedName name="sumatoria" localSheetId="9">#REF!</definedName>
    <definedName name="sumatoria" localSheetId="8">#REF!</definedName>
    <definedName name="sumatoria">#REF!</definedName>
    <definedName name="tamaño_maximo" localSheetId="9">#REF!</definedName>
    <definedName name="tamaño_maximo" localSheetId="8">#REF!</definedName>
    <definedName name="tamaño_maximo" localSheetId="7">#REF!</definedName>
    <definedName name="tamaño_maximo" localSheetId="5">#REF!</definedName>
    <definedName name="tamaño_maximo" localSheetId="6">#REF!</definedName>
    <definedName name="tamaño_maximo">#REF!</definedName>
    <definedName name="TAMICES" localSheetId="9">#REF!</definedName>
    <definedName name="TAMICES">#REF!</definedName>
    <definedName name="TER" localSheetId="9">[8]Hoja2!$C$5:$C$7</definedName>
    <definedName name="TER" localSheetId="8">[8]Hoja2!$C$5:$C$7</definedName>
    <definedName name="TER">[8]Hoja2!$C$5:$C$7</definedName>
    <definedName name="TipoDeDocumento" localSheetId="9">#REF!</definedName>
    <definedName name="TipoDeDocumento" localSheetId="8">#REF!</definedName>
    <definedName name="TipoDeDocumento" localSheetId="5">#REF!</definedName>
    <definedName name="TipoDeDocumento" localSheetId="6">#REF!</definedName>
    <definedName name="TipoDeDocumento">#REF!</definedName>
    <definedName name="TipoDoc">[25]Lista!$B$4:$B$17</definedName>
    <definedName name="TipoDocumento" localSheetId="9">#REF!</definedName>
    <definedName name="TipoDocumento" localSheetId="8">#REF!</definedName>
    <definedName name="TipoDocumento" localSheetId="7">#REF!</definedName>
    <definedName name="TipoDocumento" localSheetId="5">#REF!</definedName>
    <definedName name="TipoDocumento" localSheetId="6">#REF!</definedName>
    <definedName name="TipoDocumento">#REF!</definedName>
    <definedName name="_xlnm.Print_Titles" localSheetId="9">'Registro fotográfico ambiental'!$A:$K,'Registro fotográfico ambiental'!$1:$3</definedName>
    <definedName name="_xlnm.Print_Titles" localSheetId="8">'Registro fotográfico OyM'!$A:$L,'Registro fotográfico OyM'!$1:$3</definedName>
    <definedName name="_xlnm.Print_Titles" localSheetId="5">'Registro fotográfico técnico'!$A:$L,'Registro fotográfico técnico'!$1:$3</definedName>
    <definedName name="_xlnm.Print_Titles" localSheetId="6">'Registro fotográfico túnel'!$A:$L,'Registro fotográfico túnel'!$1:$3</definedName>
    <definedName name="_xlnm.Print_Titles">#N/A</definedName>
    <definedName name="TT" localSheetId="9">#REF!</definedName>
    <definedName name="TT" localSheetId="8">#REF!</definedName>
    <definedName name="TT">#REF!</definedName>
    <definedName name="UIY" localSheetId="9">#REF!</definedName>
    <definedName name="UIY" localSheetId="8">#REF!</definedName>
    <definedName name="UIY">#REF!</definedName>
    <definedName name="VALOR_CONSIGNADO">'[6]Consignaciones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9">#REF!</definedName>
    <definedName name="Volumen" localSheetId="8">#REF!</definedName>
    <definedName name="Volumen">#REF!</definedName>
    <definedName name="VOLUMEN1" localSheetId="9">#REF!</definedName>
    <definedName name="VOLUMEN1" localSheetId="8">#REF!</definedName>
    <definedName name="VOLUMEN1">#REF!</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[21]Lista!$B$17:$B$37</definedName>
    <definedName name="yipitin" localSheetId="2">[1]DATOS!#REF!</definedName>
    <definedName name="yipitin" localSheetId="9">[1]DATOS!#REF!</definedName>
    <definedName name="yipitin" localSheetId="8">[1]DATOS!#REF!</definedName>
    <definedName name="yipitin" localSheetId="7">[1]DATOS!#REF!</definedName>
    <definedName name="yipitin" localSheetId="5">[1]DATOS!#REF!</definedName>
    <definedName name="yipitin">[1]DATOS!#REF!</definedName>
    <definedName name="Yipo" localSheetId="2">[1]DATOS!#REF!</definedName>
    <definedName name="Yipo" localSheetId="9">[1]DATOS!#REF!</definedName>
    <definedName name="Yipo" localSheetId="8">[1]DATOS!#REF!</definedName>
    <definedName name="Yipo" localSheetId="7">[1]DATOS!#REF!</definedName>
    <definedName name="Yipo">[1]DATOS!#REF!</definedName>
  </definedNames>
  <calcPr calcId="181029"/>
</workbook>
</file>

<file path=xl/calcChain.xml><?xml version="1.0" encoding="utf-8"?>
<calcChain xmlns="http://schemas.openxmlformats.org/spreadsheetml/2006/main">
  <c r="H14" i="1080" l="1"/>
  <c r="I15" i="1080"/>
  <c r="K15" i="1080" s="1"/>
  <c r="I16" i="1080"/>
  <c r="K16" i="1080" s="1"/>
  <c r="I17" i="1080"/>
  <c r="K17" i="1080"/>
  <c r="I18" i="1080"/>
  <c r="K18" i="1080"/>
  <c r="I19" i="1080"/>
  <c r="K19" i="1080"/>
  <c r="I20" i="1080"/>
  <c r="K20" i="1080"/>
  <c r="I21" i="1080"/>
  <c r="K21" i="1080"/>
  <c r="I22" i="1080"/>
  <c r="K22" i="1080"/>
  <c r="I23" i="1080"/>
  <c r="K23" i="1080"/>
  <c r="I24" i="1080"/>
  <c r="K24" i="1080"/>
  <c r="I25" i="1080"/>
  <c r="K25" i="1080"/>
  <c r="I26" i="1080"/>
  <c r="K26" i="1080"/>
  <c r="I27" i="1080"/>
  <c r="K27" i="1080"/>
  <c r="I28" i="1080"/>
  <c r="K28" i="1080"/>
  <c r="I29" i="1080"/>
  <c r="K29" i="1080"/>
  <c r="I30" i="1080"/>
  <c r="K30" i="1080"/>
  <c r="I31" i="1080"/>
  <c r="K31" i="1080"/>
  <c r="I32" i="1080"/>
  <c r="K32" i="1080"/>
  <c r="I33" i="1080"/>
  <c r="K33" i="1080"/>
  <c r="I34" i="1080"/>
  <c r="K34" i="1080"/>
  <c r="I35" i="1080"/>
  <c r="K35" i="1080"/>
  <c r="I36" i="1080"/>
  <c r="K36" i="1080"/>
  <c r="I37" i="1080"/>
  <c r="K37" i="1080"/>
  <c r="I38" i="1080"/>
  <c r="K38" i="1080"/>
  <c r="I39" i="1080"/>
  <c r="K39" i="1080"/>
  <c r="I40" i="1080"/>
  <c r="K40" i="1080"/>
  <c r="I41" i="1080"/>
  <c r="K41" i="1080"/>
  <c r="I42" i="1080"/>
  <c r="K42" i="1080"/>
  <c r="I43" i="1080"/>
  <c r="K43" i="1080"/>
  <c r="I44" i="1080"/>
  <c r="K44" i="1080"/>
  <c r="I45" i="1080"/>
  <c r="K45" i="1080"/>
  <c r="I46" i="1080"/>
  <c r="K46" i="1080"/>
  <c r="I47" i="1080"/>
  <c r="K47" i="1080"/>
  <c r="I48" i="1080"/>
  <c r="K48" i="1080"/>
  <c r="I49" i="1080"/>
  <c r="K49" i="1080"/>
  <c r="I50" i="1080"/>
  <c r="K50" i="1080"/>
  <c r="I51" i="1080"/>
  <c r="K51" i="1080"/>
  <c r="I52" i="1080"/>
  <c r="K52" i="1080"/>
  <c r="I53" i="1080"/>
  <c r="K53" i="1080"/>
  <c r="I54" i="1080"/>
  <c r="K54" i="1080"/>
  <c r="I55" i="1080"/>
  <c r="K55" i="1080"/>
  <c r="I56" i="1080"/>
  <c r="K56" i="1080"/>
  <c r="I57" i="1080"/>
  <c r="K57" i="1080"/>
  <c r="I58" i="1080"/>
  <c r="K58" i="1080"/>
  <c r="I59" i="1080"/>
  <c r="K59" i="1080"/>
  <c r="I60" i="1080"/>
  <c r="K60" i="1080"/>
  <c r="I61" i="1080"/>
  <c r="K61" i="1080"/>
  <c r="I62" i="1080"/>
  <c r="K62" i="1080"/>
  <c r="I63" i="1080"/>
  <c r="K63" i="1080"/>
  <c r="I64" i="1080"/>
  <c r="K64" i="1080"/>
  <c r="I65" i="1080"/>
  <c r="K65" i="1080"/>
  <c r="I66" i="1080"/>
  <c r="K66" i="1080"/>
  <c r="I67" i="1080"/>
  <c r="K67" i="1080"/>
  <c r="I68" i="1080"/>
  <c r="K68" i="1080"/>
  <c r="I69" i="1080"/>
  <c r="K69" i="1080"/>
  <c r="I70" i="1080"/>
  <c r="K70" i="1080"/>
  <c r="I71" i="1080"/>
  <c r="K71" i="1080"/>
  <c r="I72" i="1080"/>
  <c r="K72" i="1080"/>
  <c r="I73" i="1080"/>
  <c r="K73" i="1080"/>
  <c r="I74" i="1080"/>
  <c r="K74" i="1080"/>
  <c r="I75" i="1080"/>
  <c r="K75" i="1080"/>
  <c r="I76" i="1080"/>
  <c r="K76" i="1080"/>
  <c r="I77" i="1080"/>
  <c r="K77" i="1080"/>
  <c r="I78" i="1080"/>
  <c r="K78" i="1080"/>
  <c r="I79" i="1080"/>
  <c r="K79" i="1080"/>
  <c r="I80" i="1080"/>
  <c r="K80" i="1080"/>
  <c r="I81" i="1080"/>
  <c r="K81" i="1080"/>
  <c r="I82" i="1080"/>
  <c r="K82" i="1080"/>
  <c r="I83" i="1080"/>
  <c r="K83" i="1080"/>
  <c r="I84" i="1080"/>
  <c r="K84" i="1080"/>
  <c r="I85" i="1080"/>
  <c r="K85" i="1080"/>
  <c r="I86" i="1080"/>
  <c r="K86" i="1080"/>
  <c r="I87" i="1080"/>
  <c r="K87" i="1080"/>
  <c r="I88" i="1080"/>
  <c r="K88" i="1080"/>
  <c r="I89" i="1080"/>
  <c r="K89" i="1080"/>
  <c r="I90" i="1080"/>
  <c r="K90" i="1080"/>
  <c r="I91" i="1080"/>
  <c r="K91" i="1080"/>
  <c r="I92" i="1080"/>
  <c r="K92" i="1080"/>
  <c r="I93" i="1080"/>
  <c r="K93" i="1080"/>
  <c r="I94" i="1080"/>
  <c r="K94" i="1080"/>
  <c r="I95" i="1080"/>
  <c r="K95" i="1080"/>
  <c r="I96" i="1080"/>
  <c r="K96" i="1080"/>
  <c r="I97" i="1080"/>
  <c r="K97" i="1080"/>
  <c r="I98" i="1080"/>
  <c r="K98" i="1080"/>
  <c r="I99" i="1080"/>
  <c r="K99" i="1080"/>
  <c r="I100" i="1080"/>
  <c r="K100" i="1080"/>
  <c r="I101" i="1080"/>
  <c r="K101" i="1080"/>
  <c r="I102" i="1080"/>
  <c r="K102" i="1080"/>
  <c r="I103" i="1080"/>
  <c r="K103" i="1080"/>
  <c r="I104" i="1080"/>
  <c r="K104" i="1080"/>
  <c r="I105" i="1080"/>
  <c r="K105" i="1080"/>
  <c r="I106" i="1080"/>
  <c r="K106" i="1080"/>
  <c r="I107" i="1080"/>
  <c r="K107" i="1080"/>
  <c r="I108" i="1080"/>
  <c r="K108" i="1080"/>
  <c r="I109" i="1080"/>
  <c r="K109" i="1080"/>
  <c r="I110" i="1080"/>
  <c r="K110" i="1080"/>
  <c r="I111" i="1080"/>
  <c r="K111" i="1080"/>
  <c r="I112" i="1080"/>
  <c r="K112" i="1080"/>
  <c r="I113" i="1080"/>
  <c r="K113" i="1080"/>
  <c r="I114" i="1080"/>
  <c r="K114" i="1080"/>
  <c r="I115" i="1080"/>
  <c r="K115" i="1080"/>
  <c r="I116" i="1080"/>
  <c r="K116" i="1080"/>
  <c r="I117" i="1080"/>
  <c r="K117" i="1080"/>
  <c r="I118" i="1080"/>
  <c r="K118" i="1080"/>
  <c r="I119" i="1080"/>
  <c r="K119" i="1080"/>
  <c r="I120" i="1080"/>
  <c r="K120" i="1080"/>
  <c r="I121" i="1080"/>
  <c r="K121" i="1080"/>
  <c r="I122" i="1080"/>
  <c r="K122" i="1080"/>
  <c r="I123" i="1080"/>
  <c r="K123" i="1080"/>
  <c r="E124" i="1080"/>
  <c r="I125" i="1080"/>
  <c r="K125" i="1080"/>
  <c r="I126" i="1080"/>
  <c r="E128" i="1080"/>
  <c r="I133" i="1080"/>
  <c r="K133" i="1080" s="1"/>
  <c r="I134" i="1080"/>
  <c r="K134" i="1080" s="1"/>
  <c r="I135" i="1080"/>
  <c r="K135" i="1080"/>
  <c r="I136" i="1080"/>
  <c r="K136" i="1080" s="1"/>
  <c r="I137" i="1080"/>
  <c r="K137" i="1080"/>
  <c r="I138" i="1080"/>
  <c r="K138" i="1080" s="1"/>
  <c r="I139" i="1080"/>
  <c r="K139" i="1080"/>
  <c r="I140" i="1080"/>
  <c r="K140" i="1080" s="1"/>
  <c r="I141" i="1080"/>
  <c r="K141" i="1080"/>
  <c r="I142" i="1080"/>
  <c r="K142" i="1080" s="1"/>
  <c r="I143" i="1080"/>
  <c r="K143" i="1080"/>
  <c r="I144" i="1080"/>
  <c r="K144" i="1080" s="1"/>
  <c r="I145" i="1080"/>
  <c r="K145" i="1080"/>
  <c r="I146" i="1080"/>
  <c r="K146" i="1080" s="1"/>
  <c r="I147" i="1080"/>
  <c r="K147" i="1080"/>
  <c r="I148" i="1080"/>
  <c r="K148" i="1080" s="1"/>
  <c r="I149" i="1080"/>
  <c r="K149" i="1080"/>
  <c r="E150" i="1080"/>
  <c r="K150" i="1080" s="1"/>
  <c r="I150" i="1080"/>
  <c r="I151" i="1080"/>
  <c r="K151" i="1080"/>
  <c r="I152" i="1080"/>
  <c r="K152" i="1080" s="1"/>
  <c r="I153" i="1080"/>
  <c r="K153" i="1080"/>
  <c r="I154" i="1080"/>
  <c r="K154" i="1080" s="1"/>
  <c r="I155" i="1080"/>
  <c r="K155" i="1080"/>
  <c r="I156" i="1080"/>
  <c r="K156" i="1080" s="1"/>
  <c r="I157" i="1080"/>
  <c r="K157" i="1080"/>
  <c r="I158" i="1080"/>
  <c r="K158" i="1080" s="1"/>
  <c r="I159" i="1080"/>
  <c r="K159" i="1080"/>
  <c r="I160" i="1080"/>
  <c r="K160" i="1080" s="1"/>
  <c r="I161" i="1080"/>
  <c r="K161" i="1080"/>
  <c r="I162" i="1080"/>
  <c r="K162" i="1080" s="1"/>
  <c r="I163" i="1080"/>
  <c r="K163" i="1080"/>
  <c r="I164" i="1080"/>
  <c r="K164" i="1080" s="1"/>
  <c r="I165" i="1080"/>
  <c r="K165" i="1080"/>
  <c r="I166" i="1080"/>
  <c r="K166" i="1080" s="1"/>
  <c r="I167" i="1080"/>
  <c r="K167" i="1080"/>
  <c r="I168" i="1080"/>
  <c r="K168" i="1080" s="1"/>
  <c r="I169" i="1080"/>
  <c r="K169" i="1080"/>
  <c r="I173" i="1080"/>
  <c r="K173" i="1080" s="1"/>
  <c r="I174" i="1080"/>
  <c r="K174" i="1080"/>
  <c r="I175" i="1080"/>
  <c r="K175" i="1080" s="1"/>
  <c r="I176" i="1080"/>
  <c r="K176" i="1080"/>
  <c r="I177" i="1080"/>
  <c r="K177" i="1080" s="1"/>
  <c r="I178" i="1080"/>
  <c r="K178" i="1080"/>
  <c r="I179" i="1080"/>
  <c r="K179" i="1080" s="1"/>
  <c r="I180" i="1080"/>
  <c r="K180" i="1080"/>
  <c r="I181" i="1080"/>
  <c r="K181" i="1080" s="1"/>
  <c r="I182" i="1080"/>
  <c r="K182" i="1080"/>
  <c r="I183" i="1080"/>
  <c r="K183" i="1080" s="1"/>
  <c r="I184" i="1080"/>
  <c r="K184" i="1080"/>
  <c r="I185" i="1080"/>
  <c r="K185" i="1080" s="1"/>
  <c r="L185" i="1080" s="1"/>
  <c r="I186" i="1080"/>
  <c r="K186" i="1080" s="1"/>
  <c r="I193" i="1080"/>
  <c r="K193" i="1080"/>
  <c r="I194" i="1080"/>
  <c r="K194" i="1080" s="1"/>
  <c r="I195" i="1080"/>
  <c r="K195" i="1080"/>
  <c r="I196" i="1080"/>
  <c r="K196" i="1080" s="1"/>
  <c r="I197" i="1080"/>
  <c r="K197" i="1080"/>
  <c r="I198" i="1080"/>
  <c r="K198" i="1080" s="1"/>
  <c r="I199" i="1080"/>
  <c r="K199" i="1080"/>
  <c r="I200" i="1080"/>
  <c r="K200" i="1080" s="1"/>
  <c r="I201" i="1080"/>
  <c r="K201" i="1080"/>
  <c r="I202" i="1080"/>
  <c r="K202" i="1080" s="1"/>
  <c r="I203" i="1080"/>
  <c r="K203" i="1080"/>
  <c r="I207" i="1080"/>
  <c r="K207" i="1080" s="1"/>
  <c r="I208" i="1080"/>
  <c r="K208" i="1080"/>
  <c r="I209" i="1080"/>
  <c r="K209" i="1080" s="1"/>
  <c r="I210" i="1080"/>
  <c r="K210" i="1080"/>
  <c r="I211" i="1080"/>
  <c r="K211" i="1080" s="1"/>
  <c r="I212" i="1080"/>
  <c r="K212" i="1080"/>
  <c r="I213" i="1080"/>
  <c r="K213" i="1080" s="1"/>
  <c r="I214" i="1080"/>
  <c r="K214" i="1080"/>
  <c r="E215" i="1080"/>
  <c r="K215" i="1080" s="1"/>
  <c r="I215" i="1080"/>
  <c r="I216" i="1080"/>
  <c r="K216" i="1080"/>
  <c r="H217" i="1080"/>
  <c r="I217" i="1080"/>
  <c r="K217" i="1080"/>
  <c r="I218" i="1080"/>
  <c r="K218" i="1080" s="1"/>
  <c r="I219" i="1080"/>
  <c r="K219" i="1080"/>
  <c r="I220" i="1080"/>
  <c r="K220" i="1080" s="1"/>
  <c r="I221" i="1080"/>
  <c r="K221" i="1080"/>
  <c r="I222" i="1080"/>
  <c r="K222" i="1080" s="1"/>
  <c r="I223" i="1080"/>
  <c r="K223" i="1080"/>
  <c r="I224" i="1080"/>
  <c r="K224" i="1080" s="1"/>
  <c r="I225" i="1080"/>
  <c r="K225" i="1080"/>
  <c r="P228" i="1080"/>
  <c r="Q228" i="1080"/>
  <c r="R228" i="1080"/>
  <c r="I229" i="1080"/>
  <c r="K229" i="1080"/>
  <c r="N229" i="1080"/>
  <c r="I230" i="1080"/>
  <c r="K230" i="1080" s="1"/>
  <c r="P230" i="1080"/>
  <c r="I231" i="1080"/>
  <c r="K231" i="1080"/>
  <c r="I232" i="1080"/>
  <c r="K232" i="1080"/>
  <c r="I233" i="1080"/>
  <c r="K233" i="1080" s="1"/>
  <c r="I234" i="1080"/>
  <c r="K234" i="1080"/>
  <c r="I235" i="1080"/>
  <c r="K235" i="1080"/>
  <c r="I236" i="1080"/>
  <c r="K236" i="1080"/>
  <c r="I237" i="1080"/>
  <c r="K237" i="1080" s="1"/>
  <c r="I238" i="1080"/>
  <c r="K238" i="1080"/>
  <c r="I239" i="1080"/>
  <c r="K239" i="1080"/>
  <c r="I240" i="1080"/>
  <c r="K240" i="1080"/>
  <c r="I241" i="1080"/>
  <c r="K241" i="1080" s="1"/>
  <c r="I242" i="1080"/>
  <c r="K242" i="1080"/>
  <c r="I243" i="1080"/>
  <c r="K243" i="1080"/>
  <c r="I244" i="1080"/>
  <c r="K244" i="1080"/>
  <c r="I245" i="1080"/>
  <c r="K245" i="1080" s="1"/>
  <c r="I246" i="1080"/>
  <c r="K246" i="1080"/>
  <c r="I247" i="1080"/>
  <c r="K247" i="1080"/>
  <c r="I248" i="1080"/>
  <c r="K248" i="1080"/>
  <c r="I249" i="1080"/>
  <c r="K249" i="1080" s="1"/>
  <c r="I250" i="1080"/>
  <c r="K250" i="1080"/>
  <c r="I251" i="1080"/>
  <c r="K251" i="1080"/>
  <c r="I252" i="1080"/>
  <c r="K252" i="1080"/>
  <c r="I253" i="1080"/>
  <c r="K253" i="1080" s="1"/>
  <c r="I254" i="1080"/>
  <c r="K254" i="1080"/>
  <c r="I255" i="1080"/>
  <c r="K255" i="1080"/>
  <c r="I256" i="1080"/>
  <c r="K256" i="1080"/>
  <c r="I257" i="1080"/>
  <c r="K257" i="1080" s="1"/>
  <c r="I258" i="1080"/>
  <c r="K258" i="1080"/>
  <c r="I259" i="1080"/>
  <c r="K259" i="1080"/>
  <c r="E260" i="1080"/>
  <c r="I260" i="1080"/>
  <c r="K260" i="1080"/>
  <c r="I261" i="1080"/>
  <c r="K261" i="1080"/>
  <c r="I262" i="1080"/>
  <c r="K262" i="1080" s="1"/>
  <c r="I263" i="1080"/>
  <c r="K263" i="1080"/>
  <c r="I264" i="1080"/>
  <c r="K264" i="1080"/>
  <c r="I265" i="1080"/>
  <c r="K265" i="1080"/>
  <c r="I266" i="1080"/>
  <c r="K266" i="1080" s="1"/>
  <c r="I267" i="1080"/>
  <c r="K267" i="1080"/>
  <c r="I268" i="1080"/>
  <c r="K268" i="1080"/>
  <c r="I269" i="1080"/>
  <c r="K269" i="1080"/>
  <c r="I270" i="1080"/>
  <c r="K270" i="1080"/>
  <c r="I271" i="1080"/>
  <c r="K271" i="1080"/>
  <c r="I272" i="1080"/>
  <c r="E273" i="1080"/>
  <c r="I273" i="1080"/>
  <c r="K273" i="1080"/>
  <c r="I274" i="1080"/>
  <c r="K274" i="1080"/>
  <c r="I275" i="1080"/>
  <c r="K275" i="1080"/>
  <c r="H276" i="1080"/>
  <c r="I279" i="1080"/>
  <c r="K279" i="1080"/>
  <c r="I280" i="1080"/>
  <c r="I281" i="1080"/>
  <c r="K281" i="1080"/>
  <c r="I282" i="1080"/>
  <c r="E282" i="1080" s="1"/>
  <c r="E283" i="1080"/>
  <c r="H283" i="1080"/>
  <c r="K283" i="1080"/>
  <c r="L283" i="1080"/>
  <c r="H284" i="1080"/>
  <c r="I291" i="1080"/>
  <c r="K291" i="1080"/>
  <c r="I301" i="1080"/>
  <c r="K301" i="1080"/>
  <c r="E302" i="1080"/>
  <c r="I302" i="1080"/>
  <c r="K302" i="1080"/>
  <c r="I303" i="1080"/>
  <c r="K303" i="1080" s="1"/>
  <c r="I304" i="1080"/>
  <c r="K304" i="1080"/>
  <c r="I305" i="1080"/>
  <c r="K305" i="1080" s="1"/>
  <c r="I306" i="1080"/>
  <c r="K306" i="1080"/>
  <c r="E307" i="1080"/>
  <c r="E330" i="1080" s="1"/>
  <c r="I307" i="1080"/>
  <c r="I308" i="1080"/>
  <c r="K308" i="1080"/>
  <c r="I309" i="1080"/>
  <c r="K309" i="1080"/>
  <c r="I310" i="1080"/>
  <c r="K310" i="1080"/>
  <c r="I311" i="1080"/>
  <c r="K311" i="1080"/>
  <c r="I312" i="1080"/>
  <c r="K312" i="1080"/>
  <c r="I313" i="1080"/>
  <c r="K313" i="1080"/>
  <c r="I314" i="1080"/>
  <c r="K314" i="1080"/>
  <c r="I315" i="1080"/>
  <c r="K315" i="1080"/>
  <c r="I316" i="1080"/>
  <c r="K316" i="1080"/>
  <c r="I317" i="1080"/>
  <c r="K317" i="1080"/>
  <c r="I318" i="1080"/>
  <c r="K318" i="1080"/>
  <c r="I319" i="1080"/>
  <c r="K319" i="1080"/>
  <c r="I320" i="1080"/>
  <c r="K320" i="1080"/>
  <c r="I321" i="1080"/>
  <c r="I322" i="1080"/>
  <c r="I323" i="1080"/>
  <c r="K323" i="1080"/>
  <c r="I326" i="1080"/>
  <c r="K326" i="1080"/>
  <c r="I327" i="1080"/>
  <c r="K327" i="1080"/>
  <c r="I328" i="1080"/>
  <c r="K328" i="1080"/>
  <c r="I329" i="1080"/>
  <c r="K329" i="1080"/>
  <c r="H330" i="1080"/>
  <c r="H342" i="1080" s="1"/>
  <c r="I335" i="1080"/>
  <c r="K335" i="1080"/>
  <c r="I336" i="1080"/>
  <c r="K336" i="1080"/>
  <c r="I337" i="1080"/>
  <c r="K337" i="1080"/>
  <c r="I338" i="1080"/>
  <c r="K338" i="1080"/>
  <c r="S389" i="316"/>
  <c r="S388" i="316"/>
  <c r="S386" i="316"/>
  <c r="S387" i="316" s="1"/>
  <c r="S385" i="316"/>
  <c r="K124" i="1080" l="1"/>
  <c r="K128" i="1080" s="1"/>
  <c r="E272" i="1080"/>
  <c r="N230" i="1080"/>
  <c r="N231" i="1080" s="1"/>
  <c r="N232" i="1080" s="1"/>
  <c r="N233" i="1080" s="1"/>
  <c r="N234" i="1080" s="1"/>
  <c r="N235" i="1080" s="1"/>
  <c r="N236" i="1080" s="1"/>
  <c r="N237" i="1080" s="1"/>
  <c r="N238" i="1080" s="1"/>
  <c r="N239" i="1080" s="1"/>
  <c r="N240" i="1080" s="1"/>
  <c r="N241" i="1080" s="1"/>
  <c r="N242" i="1080" s="1"/>
  <c r="N243" i="1080" s="1"/>
  <c r="N244" i="1080" s="1"/>
  <c r="N245" i="1080" s="1"/>
  <c r="N246" i="1080" s="1"/>
  <c r="N247" i="1080" s="1"/>
  <c r="N248" i="1080" s="1"/>
  <c r="N249" i="1080" s="1"/>
  <c r="N250" i="1080" s="1"/>
  <c r="N251" i="1080" s="1"/>
  <c r="N252" i="1080" s="1"/>
  <c r="N253" i="1080" s="1"/>
  <c r="N254" i="1080" s="1"/>
  <c r="N255" i="1080" s="1"/>
  <c r="N256" i="1080" s="1"/>
  <c r="N257" i="1080" s="1"/>
  <c r="N258" i="1080" s="1"/>
  <c r="N259" i="1080" s="1"/>
  <c r="N260" i="1080" s="1"/>
  <c r="N261" i="1080" s="1"/>
  <c r="N262" i="1080" s="1"/>
  <c r="N263" i="1080" s="1"/>
  <c r="N264" i="1080" s="1"/>
  <c r="N265" i="1080" s="1"/>
  <c r="N266" i="1080" s="1"/>
  <c r="N267" i="1080" s="1"/>
  <c r="N268" i="1080" s="1"/>
  <c r="K307" i="1080"/>
  <c r="Q54" i="1078"/>
  <c r="Q53" i="1078"/>
  <c r="Q52" i="1078"/>
  <c r="P52" i="1078"/>
  <c r="O52" i="1078"/>
  <c r="N52" i="1078"/>
  <c r="M52" i="1078"/>
  <c r="Q51" i="1078"/>
  <c r="P51" i="1078"/>
  <c r="Q50" i="1078"/>
  <c r="Q49" i="1078"/>
  <c r="P49" i="1078"/>
  <c r="O49" i="1078"/>
  <c r="Q48" i="1078"/>
  <c r="Q47" i="1078"/>
  <c r="Q46" i="1078"/>
  <c r="P46" i="1078"/>
  <c r="O46" i="1078"/>
  <c r="N46" i="1078"/>
  <c r="Q45" i="1078"/>
  <c r="Q44" i="1078"/>
  <c r="Q43" i="1078"/>
  <c r="O43" i="1078"/>
  <c r="Q42" i="1078"/>
  <c r="G42" i="1078"/>
  <c r="F42" i="1078"/>
  <c r="E42" i="1078"/>
  <c r="D42" i="1078"/>
  <c r="Q41" i="1078"/>
  <c r="F41" i="1078"/>
  <c r="E41" i="1078"/>
  <c r="D41" i="1078"/>
  <c r="Q40" i="1078"/>
  <c r="O40" i="1078"/>
  <c r="G40" i="1078"/>
  <c r="Q39" i="1078"/>
  <c r="G39" i="1078"/>
  <c r="F39" i="1078"/>
  <c r="E39" i="1078"/>
  <c r="D39" i="1078"/>
  <c r="Q38" i="1078"/>
  <c r="G38" i="1078"/>
  <c r="F38" i="1078"/>
  <c r="E38" i="1078"/>
  <c r="D38" i="1078"/>
  <c r="Q37" i="1078"/>
  <c r="O37" i="1078"/>
  <c r="N37" i="1078"/>
  <c r="G37" i="1078"/>
  <c r="Q36" i="1078"/>
  <c r="G36" i="1078"/>
  <c r="F36" i="1078"/>
  <c r="E36" i="1078"/>
  <c r="D36" i="1078"/>
  <c r="Q35" i="1078"/>
  <c r="G35" i="1078"/>
  <c r="F35" i="1078"/>
  <c r="E35" i="1078"/>
  <c r="D35" i="1078"/>
  <c r="Q34" i="1078"/>
  <c r="O34" i="1078"/>
  <c r="N34" i="1078"/>
  <c r="G34" i="1078"/>
  <c r="Q33" i="1078"/>
  <c r="O33" i="1078"/>
  <c r="G33" i="1078"/>
  <c r="F33" i="1078"/>
  <c r="E33" i="1078"/>
  <c r="D33" i="1078"/>
  <c r="Q32" i="1078"/>
  <c r="O32" i="1078"/>
  <c r="G32" i="1078"/>
  <c r="F32" i="1078"/>
  <c r="E32" i="1078"/>
  <c r="D32" i="1078"/>
  <c r="Q31" i="1078"/>
  <c r="P31" i="1078"/>
  <c r="O31" i="1078"/>
  <c r="N31" i="1078"/>
  <c r="M31" i="1078"/>
  <c r="G31" i="1078"/>
  <c r="Q30" i="1078"/>
  <c r="O30" i="1078"/>
  <c r="N30" i="1078"/>
  <c r="M30" i="1078"/>
  <c r="G30" i="1078"/>
  <c r="F30" i="1078"/>
  <c r="E30" i="1078"/>
  <c r="D30" i="1078"/>
  <c r="Q29" i="1078"/>
  <c r="O29" i="1078"/>
  <c r="N29" i="1078"/>
  <c r="G29" i="1078"/>
  <c r="F29" i="1078"/>
  <c r="E29" i="1078"/>
  <c r="D29" i="1078"/>
  <c r="P28" i="1078"/>
  <c r="O28" i="1078"/>
  <c r="N28" i="1078"/>
  <c r="M28" i="1078"/>
  <c r="Q28" i="1078" s="1"/>
  <c r="G28" i="1078"/>
  <c r="Q27" i="1078"/>
  <c r="G27" i="1078"/>
  <c r="F27" i="1078"/>
  <c r="E27" i="1078"/>
  <c r="D27" i="1078"/>
  <c r="Q26" i="1078"/>
  <c r="G26" i="1078"/>
  <c r="F26" i="1078"/>
  <c r="E26" i="1078"/>
  <c r="D26" i="1078"/>
  <c r="P25" i="1078"/>
  <c r="O25" i="1078"/>
  <c r="N25" i="1078"/>
  <c r="Q25" i="1078" s="1"/>
  <c r="M25" i="1078"/>
  <c r="G25" i="1078"/>
  <c r="Q24" i="1078"/>
  <c r="G24" i="1078"/>
  <c r="F24" i="1078"/>
  <c r="E24" i="1078"/>
  <c r="D24" i="1078"/>
  <c r="Q23" i="1078"/>
  <c r="G23" i="1078"/>
  <c r="F23" i="1078"/>
  <c r="E23" i="1078"/>
  <c r="D23" i="1078"/>
  <c r="Q22" i="1078"/>
  <c r="P22" i="1078"/>
  <c r="O22" i="1078"/>
  <c r="N22" i="1078"/>
  <c r="M22" i="1078"/>
  <c r="G22" i="1078"/>
  <c r="P21" i="1078"/>
  <c r="O21" i="1078"/>
  <c r="N21" i="1078"/>
  <c r="Q21" i="1078" s="1"/>
  <c r="M21" i="1078"/>
  <c r="G21" i="1078"/>
  <c r="F21" i="1078"/>
  <c r="E21" i="1078"/>
  <c r="D21" i="1078"/>
  <c r="Q20" i="1078"/>
  <c r="P20" i="1078"/>
  <c r="O20" i="1078"/>
  <c r="N20" i="1078"/>
  <c r="G20" i="1078"/>
  <c r="F20" i="1078"/>
  <c r="E20" i="1078"/>
  <c r="D20" i="1078"/>
  <c r="Q19" i="1078"/>
  <c r="P19" i="1078"/>
  <c r="O19" i="1078"/>
  <c r="N19" i="1078"/>
  <c r="M19" i="1078"/>
  <c r="G19" i="1078"/>
  <c r="Q18" i="1078"/>
  <c r="G18" i="1078"/>
  <c r="F18" i="1078"/>
  <c r="E18" i="1078"/>
  <c r="D18" i="1078"/>
  <c r="Q17" i="1078"/>
  <c r="G17" i="1078"/>
  <c r="F17" i="1078"/>
  <c r="E17" i="1078"/>
  <c r="D17" i="1078"/>
  <c r="Q16" i="1078"/>
  <c r="P16" i="1078"/>
  <c r="O16" i="1078"/>
  <c r="N16" i="1078"/>
  <c r="M16" i="1078"/>
  <c r="G16" i="1078"/>
  <c r="Q15" i="1078"/>
  <c r="G15" i="1078"/>
  <c r="E15" i="1078"/>
  <c r="D15" i="1078"/>
  <c r="Q14" i="1078"/>
  <c r="G14" i="1078"/>
  <c r="E14" i="1078"/>
  <c r="D14" i="1078"/>
  <c r="Q13" i="1078"/>
  <c r="P13" i="1078"/>
  <c r="O13" i="1078"/>
  <c r="N13" i="1078"/>
  <c r="M13" i="1078"/>
  <c r="G13" i="1078"/>
  <c r="Q12" i="1078"/>
  <c r="P12" i="1078"/>
  <c r="N12" i="1078"/>
  <c r="G12" i="1078"/>
  <c r="F12" i="1078"/>
  <c r="E12" i="1078"/>
  <c r="D12" i="1078"/>
  <c r="Q11" i="1078"/>
  <c r="P11" i="1078"/>
  <c r="N11" i="1078"/>
  <c r="M11" i="1078"/>
  <c r="G11" i="1078"/>
  <c r="F11" i="1078"/>
  <c r="E11" i="1078"/>
  <c r="D11" i="1078"/>
  <c r="Q10" i="1078"/>
  <c r="G10" i="1078"/>
  <c r="K272" i="1080" l="1"/>
  <c r="E276" i="1080"/>
  <c r="E284" i="1080" s="1"/>
  <c r="E277" i="1080"/>
  <c r="K330" i="1080"/>
  <c r="L330" i="1080" s="1"/>
  <c r="F281" i="316"/>
  <c r="Q230" i="1080" l="1"/>
  <c r="K276" i="1080"/>
  <c r="J281" i="316"/>
  <c r="E160" i="316"/>
  <c r="G147" i="316" s="1"/>
  <c r="F202" i="316"/>
  <c r="J202" i="316" s="1"/>
  <c r="E260" i="316"/>
  <c r="I260" i="316" s="1"/>
  <c r="G152" i="316"/>
  <c r="J294" i="316"/>
  <c r="E284" i="316"/>
  <c r="C284" i="316"/>
  <c r="D263" i="316"/>
  <c r="B263" i="316"/>
  <c r="J245" i="316"/>
  <c r="E205" i="316"/>
  <c r="C205" i="316"/>
  <c r="D163" i="316"/>
  <c r="B163" i="316"/>
  <c r="K154" i="316"/>
  <c r="E154" i="316"/>
  <c r="G284" i="316"/>
  <c r="H152" i="316"/>
  <c r="K151" i="316"/>
  <c r="H151" i="316"/>
  <c r="G151" i="316"/>
  <c r="K150" i="316"/>
  <c r="F263" i="316" s="1"/>
  <c r="H150" i="316"/>
  <c r="K149" i="316"/>
  <c r="G248" i="316" s="1"/>
  <c r="H248" i="316" s="1"/>
  <c r="H149" i="316"/>
  <c r="G149" i="316"/>
  <c r="K148" i="316"/>
  <c r="G205" i="316" s="1"/>
  <c r="H148" i="316"/>
  <c r="K147" i="316"/>
  <c r="F163" i="316" s="1"/>
  <c r="H147" i="316"/>
  <c r="K284" i="1080" l="1"/>
  <c r="L284" i="1080" s="1"/>
  <c r="L276" i="1080"/>
  <c r="R230" i="1080"/>
  <c r="H154" i="316"/>
  <c r="G148" i="316"/>
  <c r="I160" i="316"/>
  <c r="G150" i="316"/>
  <c r="G154" i="316"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Financiero</author>
  </authors>
  <commentList>
    <comment ref="M260" authorId="0" shapeId="0" xr:uid="{00000000-0006-0000-0000-000001000000}">
      <text>
        <r>
          <rPr>
            <b/>
            <sz val="9"/>
            <color indexed="81"/>
            <rFont val="Tahoma"/>
            <family val="2"/>
          </rPr>
          <t>Financiero:</t>
        </r>
        <r>
          <rPr>
            <sz val="9"/>
            <color indexed="81"/>
            <rFont val="Tahoma"/>
            <family val="2"/>
          </rPr>
          <t xml:space="preserve">
Valor del fondeo 5.655.984.726</t>
        </r>
      </text>
    </comment>
  </commentList>
</comments>
</file>

<file path=xl/sharedStrings.xml><?xml version="1.0" encoding="utf-8"?>
<sst xmlns="http://schemas.openxmlformats.org/spreadsheetml/2006/main" count="3375" uniqueCount="1430">
  <si>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</si>
  <si>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</si>
  <si>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</si>
  <si>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</si>
  <si>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</si>
  <si>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</si>
  <si>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</si>
  <si>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</si>
  <si>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</si>
  <si>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</si>
  <si>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</si>
  <si>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</si>
  <si>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</si>
  <si>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</si>
  <si>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</si>
  <si>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</si>
  <si>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</si>
  <si>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</si>
  <si>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</si>
  <si>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</si>
  <si>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</si>
  <si>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</si>
  <si>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</si>
  <si>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</si>
  <si>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</si>
  <si>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</si>
  <si>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</si>
  <si>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</si>
  <si>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</si>
  <si>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</si>
  <si>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</si>
  <si>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</si>
  <si>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</si>
  <si>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</si>
  <si>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</si>
  <si>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</si>
  <si>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</si>
  <si>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</si>
  <si>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</si>
  <si>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</si>
  <si>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</si>
  <si>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</si>
  <si>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</si>
  <si>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</si>
  <si>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</si>
  <si>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</si>
  <si>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</si>
  <si>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</si>
  <si>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</si>
  <si>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</si>
  <si>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</si>
  <si>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</si>
  <si>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</si>
  <si>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</si>
  <si>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</si>
  <si>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</si>
  <si>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</si>
  <si>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</si>
  <si>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</si>
  <si>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</si>
  <si>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</si>
  <si>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</si>
  <si>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</si>
  <si>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</si>
  <si>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</si>
  <si>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</si>
  <si>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</si>
  <si>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</si>
  <si>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</si>
  <si>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</si>
  <si>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</si>
  <si>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</si>
  <si>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</si>
  <si>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</si>
  <si>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</si>
  <si>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</si>
  <si>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</si>
  <si>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</si>
  <si>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</si>
  <si>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</si>
  <si>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</si>
  <si>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</si>
  <si>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</si>
  <si>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</si>
  <si>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</si>
  <si>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</si>
  <si>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</si>
  <si>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</si>
  <si>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</si>
  <si>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</si>
  <si>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</si>
  <si>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</si>
  <si>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</si>
  <si>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</si>
  <si>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</si>
  <si>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</si>
  <si>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</si>
  <si>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</si>
  <si>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</si>
  <si>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</si>
  <si>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</si>
  <si>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</si>
  <si>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</si>
  <si>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</si>
  <si>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</si>
  <si>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</si>
  <si>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</si>
  <si>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</si>
  <si>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</si>
  <si>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</si>
  <si>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Corpourabá otorgó ampliación de caudal Q. Los Perros. con Resolución 200-03-20-01-1310-2016 del 12-10-17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</si>
  <si>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</si>
  <si>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</si>
  <si>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</si>
  <si>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</si>
  <si>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</si>
  <si>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</si>
  <si>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</si>
  <si>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</si>
  <si>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</si>
  <si>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</si>
  <si>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</si>
  <si>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</si>
  <si>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 xml:space="preserve">CONSTRUCCIÖN </t>
  </si>
  <si>
    <t>Tramos</t>
  </si>
  <si>
    <t>Tramo</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</si>
  <si>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</si>
  <si>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</si>
  <si>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</si>
  <si>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</si>
  <si>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</si>
  <si>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</si>
  <si>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</si>
  <si>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</si>
  <si>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</si>
  <si>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</si>
  <si>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Aporte establecido contractual</t>
  </si>
  <si>
    <t xml:space="preserve">               IPC</t>
  </si>
  <si>
    <t>MES DE IPC</t>
  </si>
  <si>
    <t>Aportes efectuados en pesos del mes de referencia</t>
  </si>
  <si>
    <t>Giro 1</t>
  </si>
  <si>
    <t>Proyecto</t>
  </si>
  <si>
    <t>Dinerario</t>
  </si>
  <si>
    <t>Fecha de Constitución del Patrimonio Autónomo</t>
  </si>
  <si>
    <t>Giro 2</t>
  </si>
  <si>
    <t>Giro 3</t>
  </si>
  <si>
    <t>Giro 4</t>
  </si>
  <si>
    <t>Giro 5</t>
  </si>
  <si>
    <t>Giro 6</t>
  </si>
  <si>
    <t>Giro 7</t>
  </si>
  <si>
    <t>Giro 8</t>
  </si>
  <si>
    <t>sept-2015</t>
  </si>
  <si>
    <t>octubre-2015</t>
  </si>
  <si>
    <t>noviembre-2015</t>
  </si>
  <si>
    <t>diciembre-2015</t>
  </si>
  <si>
    <t>enero-2016</t>
  </si>
  <si>
    <t>febrero-2016</t>
  </si>
  <si>
    <t>marzo-2016</t>
  </si>
  <si>
    <t>abril-2016</t>
  </si>
  <si>
    <t>mayo-2016</t>
  </si>
  <si>
    <t>junio-2016</t>
  </si>
  <si>
    <t>julio-2016</t>
  </si>
  <si>
    <t>agosto-2016</t>
  </si>
  <si>
    <t>septiembre-2016</t>
  </si>
  <si>
    <t>octubre-2016</t>
  </si>
  <si>
    <t>diciembre-2016</t>
  </si>
  <si>
    <t>enero-2017</t>
  </si>
  <si>
    <t>marzo-2017</t>
  </si>
  <si>
    <t>abril-2017</t>
  </si>
  <si>
    <t>Septiembre 2017</t>
  </si>
  <si>
    <t>Septiembre -2017</t>
  </si>
  <si>
    <t>Abril-2018</t>
  </si>
  <si>
    <t>TOTAL APORTES DINERARIOS</t>
  </si>
  <si>
    <t>Especie</t>
  </si>
  <si>
    <t>Septiembre-2015</t>
  </si>
  <si>
    <t>Predios</t>
  </si>
  <si>
    <t>incumplido</t>
  </si>
  <si>
    <t>Cumplió</t>
  </si>
  <si>
    <t>Giro 9</t>
  </si>
  <si>
    <t>Giro 10</t>
  </si>
  <si>
    <t>Giro 11</t>
  </si>
  <si>
    <t>Giro 12</t>
  </si>
  <si>
    <t>Giro 13</t>
  </si>
  <si>
    <t>Giro 14</t>
  </si>
  <si>
    <t>mayo-2017</t>
  </si>
  <si>
    <t>Giro 15</t>
  </si>
  <si>
    <t>junio-2017</t>
  </si>
  <si>
    <t>Giro 16</t>
  </si>
  <si>
    <t>AGOSTO-2017</t>
  </si>
  <si>
    <t>Giro 17</t>
  </si>
  <si>
    <t>septiembre-2017</t>
  </si>
  <si>
    <t>Giro 18</t>
  </si>
  <si>
    <t>Subcuenta Interventoría y Supervisión</t>
  </si>
  <si>
    <t>6 meses desde la Fecha de Inicio</t>
  </si>
  <si>
    <t>12 meses desde la Fecha de Inicio</t>
  </si>
  <si>
    <t>18 meses desde la Fecha de Inicio</t>
  </si>
  <si>
    <t>Abril-2017</t>
  </si>
  <si>
    <t>24 meses desde la Fecha de Inicio</t>
  </si>
  <si>
    <t>30 meses desde la Fecha de Inicio</t>
  </si>
  <si>
    <t>abril-2018</t>
  </si>
  <si>
    <t>36 meses desde la Fecha de Inicio</t>
  </si>
  <si>
    <t>42 meses desde la Fecha de Inicio</t>
  </si>
  <si>
    <t>48 meses desde la Fecha de Inicio</t>
  </si>
  <si>
    <t>54 meses desde la Fecha de Inicio</t>
  </si>
  <si>
    <t>60 meses desde la Fecha de Inicio</t>
  </si>
  <si>
    <t>66 meses desde la Fecha de Inicio</t>
  </si>
  <si>
    <t>Soporte Contractual</t>
  </si>
  <si>
    <t>enero-30-2017</t>
  </si>
  <si>
    <t>Cuentas MASC</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</si>
  <si>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</si>
  <si>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Aporte Enero 6-2017</t>
  </si>
  <si>
    <t>Aporte Enero 30-2017</t>
  </si>
  <si>
    <t>Aporte Julio 05-2017</t>
  </si>
  <si>
    <t>Mayo-2017</t>
  </si>
  <si>
    <t>Aporte Enero  06-2018</t>
  </si>
  <si>
    <t>diciembre de 2017</t>
  </si>
  <si>
    <t>Aporte Enero 30-2018</t>
  </si>
  <si>
    <t>cumplido</t>
  </si>
  <si>
    <t>Cuentas COMPENSACIONES AMBIENTALES</t>
  </si>
  <si>
    <t>Aporte julio 15-2017</t>
  </si>
  <si>
    <t>Aporte Agosto 15-2017</t>
  </si>
  <si>
    <t>Aporte  sept 15-2017</t>
  </si>
  <si>
    <t>Agosto-2017</t>
  </si>
  <si>
    <t>Aporte  oct 15-2017</t>
  </si>
  <si>
    <t>Septiembre-2017</t>
  </si>
  <si>
    <t>Aporte  Nov 15-2017</t>
  </si>
  <si>
    <t>octubre-2017</t>
  </si>
  <si>
    <t>Aporte  Dic 15-2017</t>
  </si>
  <si>
    <t>Noviembre-2017</t>
  </si>
  <si>
    <t>Aporte  Ene 16-2018</t>
  </si>
  <si>
    <t>diciembre-2017</t>
  </si>
  <si>
    <t>Aporte  feb 16-2018</t>
  </si>
  <si>
    <t>Enero-2018</t>
  </si>
  <si>
    <t>aporte de mar -12-2018</t>
  </si>
  <si>
    <t>febrero-2018</t>
  </si>
  <si>
    <t>aporte de abr -19-2018</t>
  </si>
  <si>
    <t>marzo-2018</t>
  </si>
  <si>
    <t>Cuentas REDES</t>
  </si>
  <si>
    <t>Aporte julio 06-2017</t>
  </si>
  <si>
    <t>SUBCUENTA PREDIOS II</t>
  </si>
  <si>
    <t>Predios OTROS SI N.3</t>
  </si>
  <si>
    <t>03/12/2017 y 11 de dic-2017</t>
  </si>
  <si>
    <t>incumplido por fecha</t>
  </si>
  <si>
    <t>enero-2018</t>
  </si>
  <si>
    <t>feb-2018</t>
  </si>
  <si>
    <t>Giro 19</t>
  </si>
  <si>
    <t>Giro 20</t>
  </si>
  <si>
    <t>Giro 21</t>
  </si>
  <si>
    <t>Giro 22</t>
  </si>
  <si>
    <t>Giro 23</t>
  </si>
  <si>
    <t>REGISTRO FOTOGRÁFICO</t>
  </si>
  <si>
    <t>CONSORCIO EPSILON 4G</t>
  </si>
  <si>
    <t>Control semanal de Avance Predial</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</si>
  <si>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</si>
  <si>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</si>
  <si>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</si>
  <si>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</si>
  <si>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</si>
  <si>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</si>
  <si>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</si>
  <si>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</si>
  <si>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</si>
  <si>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</si>
  <si>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</si>
  <si>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</si>
  <si>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</si>
  <si>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</si>
  <si>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</si>
  <si>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</si>
  <si>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</si>
  <si>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</si>
  <si>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</si>
  <si>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</si>
  <si>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</si>
  <si>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</si>
  <si>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</si>
  <si>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</si>
  <si>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</si>
  <si>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</si>
  <si>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</si>
  <si>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C. Nueva Túnel de Occ -  S. Jerónimo segundo Tubo del túnel</t>
  </si>
  <si>
    <t>Firmado entre el INVIAS y DEVIMAR el 27-03-17</t>
  </si>
  <si>
    <t>Giro 4 - ajuste</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</si>
  <si>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</si>
  <si>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</si>
  <si>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</si>
  <si>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</si>
  <si>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</si>
  <si>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</si>
  <si>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</si>
  <si>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</si>
  <si>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</si>
  <si>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</si>
  <si>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</si>
  <si>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may-2018</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</si>
  <si>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</si>
  <si>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</si>
  <si>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</si>
  <si>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</si>
  <si>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</si>
  <si>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jun-2018</t>
  </si>
  <si>
    <t>junio- 2018</t>
  </si>
  <si>
    <t>aporte de agosto -30-2018</t>
  </si>
  <si>
    <t>jul-2018</t>
  </si>
  <si>
    <t>junio-2018</t>
  </si>
  <si>
    <t>ACCIDENTALIDAD</t>
  </si>
  <si>
    <t>Aporte Adicional en Dinero - deuda Subordinada</t>
  </si>
  <si>
    <t>julio-2018</t>
  </si>
  <si>
    <t>agosto-2018</t>
  </si>
  <si>
    <t>agosto - 2018</t>
  </si>
  <si>
    <t>Giro 20%</t>
  </si>
  <si>
    <t>20% Adicional a cargo del Concesionario</t>
  </si>
  <si>
    <t>Mantenimiento de baños portátiles con tercero autorizado</t>
  </si>
  <si>
    <t>aporte de septiembre -30-2018</t>
  </si>
  <si>
    <t>Sep-2018</t>
  </si>
  <si>
    <t>sept-2018</t>
  </si>
  <si>
    <t>sep-2018</t>
  </si>
  <si>
    <t>aporte de octubre -30-2018</t>
  </si>
  <si>
    <t>oct-2018</t>
  </si>
  <si>
    <t>oct-2019</t>
  </si>
  <si>
    <t>pago de intereses del  aporte 15</t>
  </si>
  <si>
    <t>aporte de noviembre -30-2018</t>
  </si>
  <si>
    <t>ajuste al aporte 10 mas rendimientos</t>
  </si>
  <si>
    <t>octubre-2018</t>
  </si>
  <si>
    <t>pago del ajunte al fondeo 10 mas rendimientos</t>
  </si>
  <si>
    <t>noviembre-2018</t>
  </si>
  <si>
    <t>soporte contractual</t>
  </si>
  <si>
    <t>MASC</t>
  </si>
  <si>
    <t>nov-2018</t>
  </si>
  <si>
    <t>Aporte de Dic-2018</t>
  </si>
  <si>
    <t>aporte enero -30-2019</t>
  </si>
  <si>
    <t>VIGENCIAS FUTURAS</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</si>
  <si>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</si>
  <si>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</si>
  <si>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Noviembre 2017</t>
  </si>
  <si>
    <t>dic-2018</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</si>
  <si>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</si>
  <si>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</si>
  <si>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</si>
  <si>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</si>
  <si>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</si>
  <si>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</si>
  <si>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</si>
  <si>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</si>
  <si>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</si>
  <si>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</si>
  <si>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</si>
  <si>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</si>
  <si>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</si>
  <si>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</si>
  <si>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</si>
  <si>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</si>
  <si>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</si>
  <si>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</si>
  <si>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</si>
  <si>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</si>
  <si>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</si>
  <si>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</si>
  <si>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</si>
  <si>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</si>
  <si>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</si>
  <si>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</si>
  <si>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</si>
  <si>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</si>
  <si>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</si>
  <si>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</si>
  <si>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</si>
  <si>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</si>
  <si>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</si>
  <si>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</si>
  <si>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</si>
  <si>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</si>
  <si>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</si>
  <si>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</si>
  <si>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</si>
  <si>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</si>
  <si>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</si>
  <si>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</si>
  <si>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</si>
  <si>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</si>
  <si>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</si>
  <si>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</si>
  <si>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</si>
  <si>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</si>
  <si>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</si>
  <si>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</si>
  <si>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</si>
  <si>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</si>
  <si>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</si>
  <si>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</si>
  <si>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TEMA</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</si>
  <si>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</si>
  <si>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</si>
  <si>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</si>
  <si>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</si>
  <si>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</si>
  <si>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</si>
  <si>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</si>
  <si>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</si>
  <si>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aporte abril -30-2019</t>
  </si>
  <si>
    <t>abril-2019</t>
  </si>
  <si>
    <t>cumplido-  el aporte del periodo anterior cubre los fondeos 18 y 19 del presente año</t>
  </si>
  <si>
    <t>aporte adicional</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</si>
  <si>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</si>
  <si>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</si>
  <si>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</si>
  <si>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</si>
  <si>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</si>
  <si>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</si>
  <si>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</si>
  <si>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</si>
  <si>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</si>
  <si>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</si>
  <si>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</si>
  <si>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</si>
  <si>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</si>
  <si>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septiembre-2018</t>
  </si>
  <si>
    <t>Giro adicional 30%</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</si>
  <si>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</si>
  <si>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</si>
  <si>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</si>
  <si>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</si>
  <si>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</si>
  <si>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</si>
  <si>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</si>
  <si>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</si>
  <si>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Giro 26</t>
  </si>
  <si>
    <t>Aporte de Agosto 31 -2019</t>
  </si>
  <si>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</si>
  <si>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</si>
  <si>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</si>
  <si>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</si>
  <si>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</si>
  <si>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</si>
  <si>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</si>
  <si>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</si>
  <si>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</si>
  <si>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</si>
  <si>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</si>
  <si>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</si>
  <si>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</si>
  <si>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</si>
  <si>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</si>
  <si>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</si>
  <si>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</si>
  <si>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</si>
  <si>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</si>
  <si>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</si>
  <si>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</si>
  <si>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</si>
  <si>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</si>
  <si>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</si>
  <si>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FOTO 1</t>
  </si>
  <si>
    <t>FOTO 2</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</si>
  <si>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</si>
  <si>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Cumplió el aporte del mes de mayo/2019 y realizó el anticipo de los periodos de junio por $923.770.254 y parte de julio. El aporte de Julio es de $852.687.174 y con este aporte lleva $843.955.468,24 quedando un faltante de $8.731.705,76</t>
  </si>
  <si>
    <t>Giro 27</t>
  </si>
  <si>
    <t>Aporte de Septiembre 30 -2019</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</si>
  <si>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</si>
  <si>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</si>
  <si>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</si>
  <si>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</si>
  <si>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</si>
  <si>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</si>
  <si>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Giro 30</t>
  </si>
  <si>
    <t>Aporte de Dic 30 -2019</t>
  </si>
  <si>
    <t>Cumplió los fondeos los esta realizando anticipadamente</t>
  </si>
  <si>
    <t>Aporte anual 2019</t>
  </si>
  <si>
    <t xml:space="preserve">El presupuesto actualizado de redes húmedas obtiene el concepto de NO objeción. </t>
  </si>
  <si>
    <t>Sep-2019</t>
  </si>
  <si>
    <t>Traslado de redes húmedas UF2.1.</t>
  </si>
  <si>
    <t>Dic-2019</t>
  </si>
  <si>
    <t>E</t>
  </si>
  <si>
    <t>P</t>
  </si>
  <si>
    <t>IS</t>
  </si>
  <si>
    <t>SC</t>
  </si>
  <si>
    <t>CA</t>
  </si>
  <si>
    <t>R</t>
  </si>
  <si>
    <t>VF</t>
  </si>
  <si>
    <t>NOV/2019</t>
  </si>
  <si>
    <t>Cumplido</t>
  </si>
  <si>
    <t>9. CONTROL TÉCNICO DE TÚNELES</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</si>
  <si>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</si>
  <si>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</si>
  <si>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</si>
  <si>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</si>
  <si>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</si>
  <si>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Unidad Funcional 4,1</t>
  </si>
  <si>
    <t>Unidad Funcional 4,2</t>
  </si>
  <si>
    <t>FECHA APROBACIÓN</t>
  </si>
  <si>
    <t>31 ENERO DE 2020</t>
  </si>
  <si>
    <t>PK 0+160</t>
  </si>
  <si>
    <t>PK 11+700 Zona del retorno # 1</t>
  </si>
  <si>
    <t>Concretos premezclados</t>
  </si>
  <si>
    <t>ACTIVIDADES CRÍTICAS SEGÚN ANEXO #1 DE MAR 1, POR LA CUARENTENA DEL COVID-19</t>
  </si>
  <si>
    <t>PK 24+300 CD - Box # 106</t>
  </si>
  <si>
    <t>Unidad Funcional 4,1 - Rehabilitación Sector 4.1 Venecia - Peñalisa (Salgar) 8,8 KM</t>
  </si>
  <si>
    <t>PK 0+700</t>
  </si>
  <si>
    <t>o CCO del TUNEL</t>
  </si>
  <si>
    <t>MOVIMIENTO TIERRA o MATERIAL DE DESCOMBRO</t>
  </si>
  <si>
    <t>TEMAS DE CONTROL EN EL PERIODO PUENTES</t>
  </si>
  <si>
    <t>FOTO 3</t>
  </si>
  <si>
    <t>FOTO 4</t>
  </si>
  <si>
    <t>FOTO 5</t>
  </si>
  <si>
    <t>FOTO 6</t>
  </si>
  <si>
    <t>PK 9+200</t>
  </si>
  <si>
    <t>PK 17+300</t>
  </si>
  <si>
    <t>PK 18+800</t>
  </si>
  <si>
    <t>PK 24+150</t>
  </si>
  <si>
    <t>UF-1.0</t>
  </si>
  <si>
    <t>UF-2.1</t>
  </si>
  <si>
    <t>UF-3.0</t>
  </si>
  <si>
    <t>31  ENERO DE 2020</t>
  </si>
  <si>
    <t>6'0%</t>
  </si>
  <si>
    <t>PK 24+400/700 CD</t>
  </si>
  <si>
    <t>Aprobados</t>
  </si>
  <si>
    <t>No Aprobados</t>
  </si>
  <si>
    <t>Avalúos Preliminares Aprobados</t>
  </si>
  <si>
    <t>Avalúos Preliminares No Aprobados</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</si>
  <si>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</si>
  <si>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</si>
  <si>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</si>
  <si>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PK 5+860</t>
  </si>
  <si>
    <t>PK 18+300</t>
  </si>
  <si>
    <t>Se encuentran estacionadas 2 grúas, una ambulancia y un carro de inspección a fin de prestar los servicios de emergencia, cuando los usuarios o las condiciones  los requieran.</t>
  </si>
  <si>
    <t>PK 0+060</t>
  </si>
  <si>
    <t>PK 0+130</t>
  </si>
  <si>
    <t>Puente PK 1+440 UF 1-  Finalizan acabados en defensas tipo New Jerseys.</t>
  </si>
  <si>
    <t>Puente PK 0+930 UF 1. Acabados de defensas tipo New Jersey, ambos costados.</t>
  </si>
  <si>
    <t>,</t>
  </si>
  <si>
    <t>PK 5+720</t>
  </si>
  <si>
    <t>PK 18+000</t>
  </si>
  <si>
    <t>Puente PK 0+930 UF 1. Vista panorámica Puente construido.</t>
  </si>
  <si>
    <t>Puente PK 1+440 UF 1-  Vista panorámica Puente construido.</t>
  </si>
  <si>
    <t>ACTIVIDADES CRÍTICAS SEGÚN ANEXO #1 DE MAR 1 POR LA CUARENTENA DEL COVID-19</t>
  </si>
  <si>
    <t xml:space="preserve">PK 15+300 </t>
  </si>
  <si>
    <t>PK 14+900</t>
  </si>
  <si>
    <t>ACTIVIDADES DE OPERACIÓN Y MANTENIMIENTO</t>
  </si>
  <si>
    <t>ACTIVIDADES DE OPERACIÓN Y MANTENIMIENTO - UF1</t>
  </si>
  <si>
    <t>ACTIVIDADES DE OPERACIÓN Y MANTENIMIENTO-UF2.1</t>
  </si>
  <si>
    <t>ACTIVIDADES DE OPERACIÓN Y MANTENIMIENTO - UF2,2</t>
  </si>
  <si>
    <t>ACTIVIDADES DE OPERACIÓN Y MANTENIMIENTO - UF3</t>
  </si>
  <si>
    <t>ACTIVIDADES DE OPERACIÓN Y MANTENIMIENTO - UF4</t>
  </si>
  <si>
    <t>PK 0+750</t>
  </si>
  <si>
    <t>Puente PK 0+160 UF 1-  Acabados en módulos de defensa tipo New Jersey.</t>
  </si>
  <si>
    <t>Puente PK 10+440 UF 1-  ESTRIBO 1. Terminado</t>
  </si>
  <si>
    <t>Puente PK 10+440 UF 1- Vista panorámica avance construcción  Puente. Infraestructura terminada.</t>
  </si>
  <si>
    <t>Puente PK 11+110 UF 1-   PILA 2. Desencofrado de Viga Cabezal.</t>
  </si>
  <si>
    <t>Puente PK 11+110 UF 1- Vista panorámica avance construcción Puente.</t>
  </si>
  <si>
    <t>SEGURIDAD VIAL</t>
  </si>
  <si>
    <t>TRABAJOS FINALIZADOS EL 29 DE MAYO DEL 2020</t>
  </si>
  <si>
    <t>Puente PK 0+160 UF 1- Defensa tipo New Jersey terminadas.</t>
  </si>
  <si>
    <t>REUNIONES/ACTIVIDADES</t>
  </si>
  <si>
    <t>PK 0+650/700 CI</t>
  </si>
  <si>
    <t>PK 17+800</t>
  </si>
  <si>
    <t>Excavación / Rellenos de terraplén / Drenajes - CD</t>
  </si>
  <si>
    <t>Reforzamiento y protección talud perfilado - Pavimento rígido, veredal</t>
  </si>
  <si>
    <t>PK 12+850</t>
  </si>
  <si>
    <t>PK 4+500</t>
  </si>
  <si>
    <t>PK 8+400</t>
  </si>
  <si>
    <t>Perfilado de talud (fallado el pasado 22 de enero) - CD</t>
  </si>
  <si>
    <t>PK 10+200</t>
  </si>
  <si>
    <t>Se autorizó mediante Resolución 0692 del 04-04-17 para el primer proceso de Licenciamiento.</t>
  </si>
  <si>
    <t>• ANLA otorgó Licencia Ambiental con Resolución 00606 del 25-05-17 y notificada el 30-05-17. 
• ANLA resolvió con Resolución 00764 del 30-06-17 Recurso de Reposición interpuesto a la Resolución 00606, y con radicado ANLA 2017050989-2-000 del 07-07-17</t>
  </si>
  <si>
    <t xml:space="preserve">ANLA con Resolución 02318 del 14-12-18 ANLA Autorizó la modificación de la Licencia ambiental resolución 0606 asociada al polígono " La frísola - El Polvorín" </t>
  </si>
  <si>
    <t xml:space="preserve">ANLA Otorga Modificación de Licencia Ambiental  02360 Del 02 de diciembre de 2019 y aumento de caudal de vertimiento en la Q. la Frísola </t>
  </si>
  <si>
    <t>Se autorizo según acuerdo del consejo directivo de Corantioquia N° 180ACU-1811-552 del 21-11-18. la sustracción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t>
  </si>
  <si>
    <t>Se autorizó con Resolución Corantioquia 040-RES1705-2420 del 11-05-17 para la Resolución 00606 del 25-05-17.</t>
  </si>
  <si>
    <t>• Corantioquia otorgó con resolución 040-RES1808-4319 del 03-08-18 y notificada el 08-03-18 levantamiento de restricción al uso y aprovechamiento de especies forestales 
• Pago por evaluación el 17-12-18 con soporte Corantioquia SF SP925</t>
  </si>
  <si>
    <t>MADS Autorizó con resolución 2241 del 27-11-18
• Con radicado MADS 00001 del  30-11-18 Concesionario renunció al derecho de interposición de recurso de reposición contra la resolución 2241 del 27-11-18, quedando en firme.</t>
  </si>
  <si>
    <t>Modificación Licencia Ambiental resolución 00639 del 02-06-18 "ajustes en el trazado y solicitud de infraestructura asociada"</t>
  </si>
  <si>
    <t>1'00%</t>
  </si>
  <si>
    <t>MADS Autorizó con resolución 2240 del 27-11-18
Con radicado MADS 00002 del  30-11-18 Concesionario renunció al derecho de interposición de recurso de reposición contra la resolución 2240 del 27-11-18, quedando en firme</t>
  </si>
  <si>
    <t>Acuerdo de coexistencia proyectos superpuestos Autopistas al Mar 1 - Conexión Valles de Aburra - Rio Cauca, asociados a las Licencias Ambientales Resoluciones 00606 del 25-05-18 y 00639 del 02-06-18</t>
  </si>
  <si>
    <t xml:space="preserve">Acuerdo de coexistencia proyectos superpuestos Autopistas al Mar 1 - Conexión Valles de Aburra - Rio Cauca, asociado a las modificaciones de las Licencias Ambientales Resoluciones 00606 del 25-05-17 </t>
  </si>
  <si>
    <t>➢ Concesionario remitió la V4 con comunicado D-02-01-20190315-007696, Interventoría emitió concepto de No Objeción con comunicado EPS4G-0372-19 radicada el 28-03-19 con consecutivo DEVIMAR01-01-20190328013974.</t>
  </si>
  <si>
    <t>Corantioquia autorizó con Resolución 16HX-RES1711-6804 del 30-11-17</t>
  </si>
  <si>
    <t xml:space="preserve">El día 11-09-17 se recibe notificación de la resolución 160HX-RES1709-4795 del 07-09-17 mediante la cual otorgó Concesión de Aguas en el Río Aurrá. Oficio D-1672-2017-1 radicado 09-10-17 mediante el cual se da cumplimiento a los artículos 3 y 5  de la resolución que otorga. Oficio D-1918-2017-1  del 10-11-17 Mediante el cual se radica el PUEAA. </t>
  </si>
  <si>
    <t>Ministerio de Medio Ambiente autorizó con Resolución  2115 del 30-10-17</t>
  </si>
  <si>
    <t xml:space="preserve">El 17-04-17 se realizó mesa de trabajo para actualización del documento PAGA.  Con oficio D-608-2017-1 del 15 -05-17, se radico el documento ajustado. Interventoría emitió concepto de No Objeción al documento con oficio EPS4G-0234-17 el 23-05-17
Se realizó Comité Ambiental el día 12-06-18,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t>
  </si>
  <si>
    <t>Corpourabá otorgó permiso con Resolución Corpourabá 200-03-20-0228-2017 el 23-02-17.
Con Resolución 200-03-20-01-0543-2 del 17-04-18 Corpourabá suspendió parcialmente un permiso de emisiones atmosféricas fuentes fijas que fue otorgado con resolución 0228 del 23-02-17.</t>
  </si>
  <si>
    <t xml:space="preserve">
➢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Resoluciones 160HX-RES1901-405 del 30-01-19 y 160HX-RES1905-2628 del 27-05-19, Corantioquia autorizó modificaciones de los permisos de ocupación de cauce  de los expedientes HX8-2017-55 y HX8-2017-49, respectivamente.
Corantioquia los días 19, 22 -07-19 al considerar cumplidas y finalizadas las obligaciones del permiso realizó el archivo de los siguientes expedientes de ocupaciones HX8-17-49, HX8-17-53, HX8-17-58, HX8-17-51, HX8-17-54, HX8-17-55, y HX8-17-52. 
Solicitud cierre expediente Ocupación Q. la Palma con radicado 160HX-COE1912-44040 del 23-12-19
Con radicado 160HX-COE1912-42119 del 06-12-19 Concesionario solicitó permisos de ocupación de cauce para los puntos de urgencia por la ola invernal ubicados en el PK10+850, PK44+900, PK13+800, PK26+400 y PK44+100 de la ruta 25B-02 UF4.2 los cuales ya fueron autorizados por Corantioquia en los periodos de junio y  julio de 2020, ver trazabilidad del estado de los trámites en  el anexo 4 del informe mensual de la Interventoría mes de junio y julio de 2020
</t>
  </si>
  <si>
    <t xml:space="preserve">Corantioquia autorizó Concesión de Aguas en el Rio Cauca con Resolución 160CI-RES1701-195 el 12 -01- 17.
Se resolvió recurso de reposición Resolución 160CI-RES1703-1255 del 13-03-17 y notificada el 28-03-17. </t>
  </si>
  <si>
    <t>Corantioquia otorgó permiso con Resolución 040-RES1706-3088 el 22-07-17 y notificada el 29-06-17</t>
  </si>
  <si>
    <t xml:space="preserve">MADS otorgó permiso con Resolución No. 1244 el 20-06-17
El Concesionario con comunicación M&amp;M 0024-18 del 15 de febrero de 2018 y radicado MADS E1-2018-004546, envío alcance información previa solicitada en el Resolución No. 1244 del 20-06-17. </t>
  </si>
  <si>
    <t xml:space="preserve">Terceros autorizados se uso la escombrera Municipal de Santa Fe de Antioquia operada por Disportal Medellín </t>
  </si>
  <si>
    <t>1,2,3,4</t>
  </si>
  <si>
    <t>C. Existente inicio Concesión PK4,1 KM UF3 Cañasgordas  
Ruta   6204
C. Existente Santa Fe de Antioquia - Bolombolo.</t>
  </si>
  <si>
    <t xml:space="preserve">Documento PAGA </t>
  </si>
  <si>
    <t>Proyecto Autopista al Mar 1</t>
  </si>
  <si>
    <t>Escombros: Teniendo en cuenta la medida Preventiva impuesta a la escombrera del municipio de Santa Fe de Antioquia con acta 160HXACT2005-1643 del 14-05-2020, consistente en "Suspensión de obra o actividad; reiterando que la suspensión es inmediata de todo tipo de actividad, hasta tanto se realice evaluación técnica por parte de Corantioquia”, la cual fue legalizada por Corantioquia con Resolución 160HX-RES2005-2744 del 19-05-2020, el Concesionario inició en el mes de junio de 2020 la disposición de los residuos generados de construcción y demolición en la escombrera ubicada en el municipio de San Jerónimo de propiedad del señor Heli Botero cuyo predio cuenta con la viabilidad ambiental y la autorización de la Secretaría Municipal de San Jerónimo (Resolución 038 de 2019), se aclara que los volúmenes de disposición generados en el mes de junio de 2020 seguirán siendo reportados mes vencido tal y como se acordó con la ANI, ya que por el volumen de la información el Concesionario requiere tiempo para el procesamiento de los datos.</t>
  </si>
  <si>
    <t> el 22-08-17 con oficio EPS4G-0370-16 Interventoría dio la No Objeción a la V6 del documento.
 Con comunicación EPS4G-0368-18 el 22-05-18, se dio el concepto de No Objeción al PAGA de O y M V7. 
 Con comunicación EPS4G-0414-18 el 30-05-18 y radicado ANI 2018-409-053521-2, se envió a la ANI el PAGA de Operación y Mantenimiento V7 No Objetado.    
 ANI presentó observaciones al documento PAGA V7 enviado por Interventoría con consecutivo ANI 2018-605-020266-1 del 29-06-18.
 Con comunicado EPS4G-0625-18 radicado el 26-07-18 se consideraron atendidas por parte del Concesionario las observaciones realizadas por la ANI al PAGA V7 y se dio concepto de No Objeción.</t>
  </si>
  <si>
    <t>Imprimación + mezcla asfáltica en caliente - CI</t>
  </si>
  <si>
    <t>PK 8+500</t>
  </si>
  <si>
    <t>Excavación y Llenos (incluye talud perfilado), drenajes - CD</t>
  </si>
  <si>
    <t xml:space="preserve">PK 27+400 </t>
  </si>
  <si>
    <t>Trabajos de excavación, de llenos - Reconstrucción de box # 126 - Sitio cercano a la planta de asfaltos. CD / CI</t>
  </si>
  <si>
    <t>Puente PK 5+540 UF 1 - UF 1 - Finalizan acabados módulos defensas tipo New Jersey ambos costados</t>
  </si>
  <si>
    <t xml:space="preserve">Puente PK 5+540 UF 1 - Finalizan acabados de módulos New Jersey , ambos costados. </t>
  </si>
  <si>
    <t>Puente PK 1+940 UF 1-  -ESTRIBO 1. Instalación de platina y pernos de anclaje para junta de dilatacíon provicional.</t>
  </si>
  <si>
    <t>Puente PK 1+940 UF 1-  ESTRIBO 1. Junta de dilatacíon provicional instalada..</t>
  </si>
  <si>
    <t>Ampliación Puente PK18+700 UF2.1 La Muñóz II. Instalación de pintura baranda vehicular, ambos costados. Finalizado.</t>
  </si>
  <si>
    <t>PK 6+900</t>
  </si>
  <si>
    <t>PK 14+700 CD</t>
  </si>
  <si>
    <t>Llenos, material seleccionado  y redes ITS. - CD</t>
  </si>
  <si>
    <t xml:space="preserve">Inactivo. 
La plataforma de la segunda calzada ya cuenta con la capa intermedia asfáltica tipo MSC-25. Se instalaron redes ITS. También se coloco y extendió la capa intermedia asfáltica, tipo MSC-25. También se construyeron cunetas (con sección triangular o en L), en la parte media entre calzadas. </t>
  </si>
  <si>
    <t>PK 21+300 CI</t>
  </si>
  <si>
    <t>Fecha Consignación</t>
  </si>
  <si>
    <t xml:space="preserve">180 días  desde la fecha de inicio </t>
  </si>
  <si>
    <t xml:space="preserve">360 días  desde la fecha de inicio </t>
  </si>
  <si>
    <t xml:space="preserve">720 días  desde la fecha de inicio </t>
  </si>
  <si>
    <t xml:space="preserve">1080 días  desde la fecha de inicio </t>
  </si>
  <si>
    <t xml:space="preserve">1440 días desde la fecha de inicio </t>
  </si>
  <si>
    <t xml:space="preserve">1800 días  desde la fecha de inicio </t>
  </si>
  <si>
    <t xml:space="preserve">2160 días  desde la fecha de inicio  </t>
  </si>
  <si>
    <t xml:space="preserve">30 días desde la fecha de inicio </t>
  </si>
  <si>
    <t xml:space="preserve">60 días desde la fecha de inicio </t>
  </si>
  <si>
    <t xml:space="preserve">120 días desde la fecha de inicio </t>
  </si>
  <si>
    <t xml:space="preserve">150 días desde la fecha de inicio </t>
  </si>
  <si>
    <t xml:space="preserve">180 días desde la fecha de inicio </t>
  </si>
  <si>
    <t>210 días desde la fecha de inicio</t>
  </si>
  <si>
    <t xml:space="preserve">240 días desde la fecha de inicio </t>
  </si>
  <si>
    <t xml:space="preserve">270 días desde la fecha de inicio </t>
  </si>
  <si>
    <t xml:space="preserve">300 días desde la fecha de inicio </t>
  </si>
  <si>
    <t xml:space="preserve">330 días desde la fecha de inicio </t>
  </si>
  <si>
    <t xml:space="preserve">360 días desde la fecha de inicio </t>
  </si>
  <si>
    <t xml:space="preserve">630 días desde la fecha de inicio </t>
  </si>
  <si>
    <t xml:space="preserve">660 días desde la fecha de inicio </t>
  </si>
  <si>
    <t xml:space="preserve">690 días desde la fecha de inicio </t>
  </si>
  <si>
    <t xml:space="preserve">720 días desde la fecha de inicio </t>
  </si>
  <si>
    <t xml:space="preserve">750 días desde la fecha de inicio </t>
  </si>
  <si>
    <t>realizó aporte adicional</t>
  </si>
  <si>
    <t>Aporte de riesgo compartido</t>
  </si>
  <si>
    <t>Enero-2020</t>
  </si>
  <si>
    <t>Realizo aporte adicional</t>
  </si>
  <si>
    <t>Febrero-2020</t>
  </si>
  <si>
    <t>Marzo-2020</t>
  </si>
  <si>
    <t>Abril-2020</t>
  </si>
  <si>
    <t>Mayo-2020</t>
  </si>
  <si>
    <t>Junio-2020</t>
  </si>
  <si>
    <t>Interventoría y Supervisión</t>
  </si>
  <si>
    <t>Cumplió con 9 días de retraso</t>
  </si>
  <si>
    <t>Mar-2020</t>
  </si>
  <si>
    <t>Dentro de los cinco (5) días siguientes del inicio de cada año corrido contado a partir del inicio de la Etapa de Operación y Mantenimiento</t>
  </si>
  <si>
    <t>Dentro de los primeros  treinta (30) días de cada año calendario contados a partir de la constitución del Patrimonio Autónomo</t>
  </si>
  <si>
    <t>se realizo el ajuste correspondiente quedando un excedente de $2.449.573.50 como parte de interés</t>
  </si>
  <si>
    <t>Dentro de los primeros treinta (30) Días de cada año calendario de ejecución del Contrato, contados a a partir de la constitución del Patrimonio Autónomo</t>
  </si>
  <si>
    <t>incumplió por fecha</t>
  </si>
  <si>
    <t xml:space="preserve">Aporte semestral  y anual de 2019 </t>
  </si>
  <si>
    <t>Aporte semestral 2019</t>
  </si>
  <si>
    <t>cumplió y anticipo el aporte anual de enero de 2020</t>
  </si>
  <si>
    <t>Aporte semestral 2020-01</t>
  </si>
  <si>
    <t>Aporte semestral 2020-02</t>
  </si>
  <si>
    <t>incumplido por fecha. Los intereses fueron pagados en el 28 noviembre 2018 y se relaciona en la sección de intereses.</t>
  </si>
  <si>
    <t>Giro 24</t>
  </si>
  <si>
    <t>Giro 25</t>
  </si>
  <si>
    <t>Giro 25 complemento</t>
  </si>
  <si>
    <t>Aporte de complementario julio 2019</t>
  </si>
  <si>
    <t>Aporte parcial con el pago efectuado el 27 de mayo/2019. Lleva fondeado $843.955.468,24 quedando un faltante de $8.731.705,76. Que se completa con este registro</t>
  </si>
  <si>
    <t>Adicional</t>
  </si>
  <si>
    <t>Giro 31</t>
  </si>
  <si>
    <t>Aporte de enero 31 -2020</t>
  </si>
  <si>
    <t>Cumplió aporte del mes de Enero 2020</t>
  </si>
  <si>
    <t>Giro 32</t>
  </si>
  <si>
    <t>Aporte de Febrero 29 -2020</t>
  </si>
  <si>
    <t>Ene-20</t>
  </si>
  <si>
    <t>incumplido por fecha. Los intereses fueron pagados en el 14 de abril de 2020 y se relaciona en la sección de intereses.</t>
  </si>
  <si>
    <t>Giro 33</t>
  </si>
  <si>
    <t>Aporte de Marzo 31 -2020</t>
  </si>
  <si>
    <t>Feb-20</t>
  </si>
  <si>
    <t>Cumplió aporte del mes de Marzo 2020</t>
  </si>
  <si>
    <t>Giro 34</t>
  </si>
  <si>
    <t>Aporte de Abril 30 -2020</t>
  </si>
  <si>
    <t>Mar-20</t>
  </si>
  <si>
    <t>Cumplió aporte del mes de Abril 2020</t>
  </si>
  <si>
    <t>Giro 35</t>
  </si>
  <si>
    <t>Aporte de Mayo 31 -2020</t>
  </si>
  <si>
    <t>Abr-20</t>
  </si>
  <si>
    <t>Cumplió aporte del mes de Mayo 2020</t>
  </si>
  <si>
    <t>Giro 36</t>
  </si>
  <si>
    <t>Aporte de Junio 30 -2020</t>
  </si>
  <si>
    <t>May-20</t>
  </si>
  <si>
    <t>Cumplió aporte del mes de Junio 2020</t>
  </si>
  <si>
    <t>Giro 37</t>
  </si>
  <si>
    <t>Aporte de Julio 31 -2020</t>
  </si>
  <si>
    <t>Jun-20</t>
  </si>
  <si>
    <t>Cumplió aporte del mes de Julio 2020</t>
  </si>
  <si>
    <t>SUBTOTAL FONDEOS</t>
  </si>
  <si>
    <t>Sección intereses Ambiental</t>
  </si>
  <si>
    <t xml:space="preserve">Intereses Aporte 15 </t>
  </si>
  <si>
    <t>aportes de interés rendimientos sep 2018</t>
  </si>
  <si>
    <t>Intereses Aportes 25-26-27</t>
  </si>
  <si>
    <t>aportes de interés por el faltante de julio aporte de agosto y septiembre</t>
  </si>
  <si>
    <t>pago de intereses de los meses saldo de julio 2019 y de los meses de agosto y sept 2019</t>
  </si>
  <si>
    <t>Intereses Aporte 32</t>
  </si>
  <si>
    <t>pago de intereses del  aporte 32</t>
  </si>
  <si>
    <t>SUBTOTAL INTERESES</t>
  </si>
  <si>
    <t>TOTAL AMBIENTAL</t>
  </si>
  <si>
    <t>Predios ll</t>
  </si>
  <si>
    <t>780 Días desde la fecha de inicio</t>
  </si>
  <si>
    <t>810 Días desde la fecha de inicio</t>
  </si>
  <si>
    <t>840 Días desde la fecha de inicio</t>
  </si>
  <si>
    <t>870 Días desde la fecha de inicio</t>
  </si>
  <si>
    <t>900 Días desde la fecha de inicio</t>
  </si>
  <si>
    <t>930 Días desde la fecha de inicio</t>
  </si>
  <si>
    <t>960 Días desde la fecha de inicio</t>
  </si>
  <si>
    <t>990 Días desde la fecha de inicio</t>
  </si>
  <si>
    <t>1020 Días desde la fecha de inicio</t>
  </si>
  <si>
    <t>1050 Días desde la fecha de inicio</t>
  </si>
  <si>
    <t>incumplido por la aplicación del IPC se realizó con  IPC  de julio y debió aplicarse el de agosto por lo tanto hay un faltante en pesos constantes de $3.108.531.02</t>
  </si>
  <si>
    <t>1080 Días desde la fecha de inicio</t>
  </si>
  <si>
    <t>1110 Días desde la fecha de inicio</t>
  </si>
  <si>
    <t>1140 Días desde la fecha de inicio</t>
  </si>
  <si>
    <t>1170 Días desde la fecha de inicio</t>
  </si>
  <si>
    <t>1200 Días desde la fecha de inicio</t>
  </si>
  <si>
    <t>1230 Días desde la fecha de inicio</t>
  </si>
  <si>
    <t>1260 Días desde la fecha de inicio</t>
  </si>
  <si>
    <t>1290 Días desde la fecha de inicio</t>
  </si>
  <si>
    <t>1320 Días desde la fecha de inicio</t>
  </si>
  <si>
    <t>1350 Días desde la fecha de inicio</t>
  </si>
  <si>
    <t>1380 Días desde la fecha de inicio</t>
  </si>
  <si>
    <t>1410 Días desde la fecha de inicio</t>
  </si>
  <si>
    <t>1440 Días desde la fecha de inicio</t>
  </si>
  <si>
    <t>feb-2020</t>
  </si>
  <si>
    <t>Vigencias</t>
  </si>
  <si>
    <t>Queda Pendiente el diferencial por la variación del IPC que son $30.876.022,79, Incumplido Por Fecha y valor</t>
  </si>
  <si>
    <t>ESPERA RESPUESTA DEL ESPECIALISTA  DE LA INTERVENTORÍA</t>
  </si>
  <si>
    <t>Ampliación Puente PK18+700 UF2.1 La Muñóz II. Instalación de pintura epóxica baranda vehicular. Finalizado.</t>
  </si>
  <si>
    <t>PK 14+400 CD</t>
  </si>
  <si>
    <t>PK 16+900</t>
  </si>
  <si>
    <t>PK 31+270 CD</t>
  </si>
  <si>
    <t>PR 6+700</t>
  </si>
  <si>
    <t>Puente el Paso sobre el Rio Cauca (o puente amarillo)</t>
  </si>
  <si>
    <t>Llenos y ODT # 008 + Disipador - CI</t>
  </si>
  <si>
    <r>
      <rPr>
        <b/>
        <sz val="11"/>
        <rFont val="Arial"/>
        <family val="2"/>
      </rPr>
      <t xml:space="preserve">PUENTE  PK8+115  UF1:  </t>
    </r>
    <r>
      <rPr>
        <sz val="1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rFont val="Arial"/>
        <family val="2"/>
      </rPr>
      <t>INFRAESTRUCTURA TERMINADA</t>
    </r>
    <r>
      <rPr>
        <sz val="1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rFont val="Arial"/>
        <family val="2"/>
      </rPr>
      <t>SUPERESTRUCTURA TERMINADA</t>
    </r>
    <r>
      <rPr>
        <sz val="1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</si>
  <si>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t xml:space="preserve">Granulares + capa asfáltica sobre ODT + Demarcación horizontal </t>
  </si>
  <si>
    <t xml:space="preserve">Mezcla asfáltica en caliente, MSC-25 + Demarcación horizontal </t>
  </si>
  <si>
    <t>ODT # 063 + Estructura granular + Capa asfáltica + Demarcación horizontal - CD</t>
  </si>
  <si>
    <t>PK 15+400 CD</t>
  </si>
  <si>
    <t>PK 18+400</t>
  </si>
  <si>
    <t xml:space="preserve">RAP (Recycling Asphalt Pavement) </t>
  </si>
  <si>
    <t>Drenajes + Paisajismo - Sitio Piedras Verdes</t>
  </si>
  <si>
    <t>PK 21+900</t>
  </si>
  <si>
    <t>Retorno #2 - Paisajismo</t>
  </si>
  <si>
    <t>FECHA  APROBACIÓN</t>
  </si>
  <si>
    <t>Descripción</t>
  </si>
  <si>
    <t>Ficha Social No Objetada</t>
  </si>
  <si>
    <t>Ficha Social Objetada</t>
  </si>
  <si>
    <t>No Aplica Compensación</t>
  </si>
  <si>
    <t>PK 8+080</t>
  </si>
  <si>
    <t>Mejoramiento - CI</t>
  </si>
  <si>
    <t xml:space="preserve">Las plantas concreteras del PK 13 y del PK 1+200 harán la fabricación de: concretos lanzados, concretos estructurales, morteros de inyección y los concretos simples; según los requerimientos de cada uno de los frentes activos que los requieran. </t>
  </si>
  <si>
    <t>PK 3+400</t>
  </si>
  <si>
    <t>Muro # 037 - TA, Seguridad vial</t>
  </si>
  <si>
    <t>PK 10+750 CI</t>
  </si>
  <si>
    <t>Box Doña Rosa - Excavación mecánica, muro escollera, demolición de negocio</t>
  </si>
  <si>
    <t>Lleno estructural, fallado - Nueva rehabilitación - Monitoreo, CI</t>
  </si>
  <si>
    <t>PK 13+200</t>
  </si>
  <si>
    <t>PK 16+300 CD</t>
  </si>
  <si>
    <t>ESTACIÓN O PLAYA DE PEAJES - ESTRUCTURA METALICA DE CUBIERTA</t>
  </si>
  <si>
    <t>Mejoramiento de calzada existente - CD</t>
  </si>
  <si>
    <t>PK 4+400 CD</t>
  </si>
  <si>
    <t xml:space="preserve">PK 5+800 </t>
  </si>
  <si>
    <t>Muro # 072 - HA, Seguridad vial - CI</t>
  </si>
  <si>
    <t>Variante Sopetrán</t>
  </si>
  <si>
    <t>PK 25+900</t>
  </si>
  <si>
    <t>Box culvert # 067 + Cortes / Llenos / Curado de granulares / Mezcla asfáltica -  CD</t>
  </si>
  <si>
    <t xml:space="preserve">PK 0+850 </t>
  </si>
  <si>
    <t>PK 21+300</t>
  </si>
  <si>
    <t>Inactivo. Se continua con la actividad de instalación de paneles de acero, de encofrados y funde canal perimetral. También se funden cunetas en bordes de las calzadas.</t>
  </si>
  <si>
    <t>Traslado de Redes Eléctricas; Alumbrado Público y de Telecomunicaciones UF1 y UF3.</t>
  </si>
  <si>
    <t>Traslado de Redes Húmedas UF1 y UF3</t>
  </si>
  <si>
    <t>Puente PK 5+240 UF 1.  Vista panorámica desde PK menores hacia mayores, acabados finales New Jersey..</t>
  </si>
  <si>
    <t>Puente PK 5+240 UF 1. Acabados defensas tipo New Jersey cara externa e interna, costado izquierdo.</t>
  </si>
  <si>
    <t>PK 31+260/680 CI (nuevo trazado)</t>
  </si>
  <si>
    <t>Aporte 2019</t>
  </si>
  <si>
    <t>Aporte 2018</t>
  </si>
  <si>
    <t>Certificacion</t>
  </si>
  <si>
    <t>Aporte adicional</t>
  </si>
  <si>
    <t>.</t>
  </si>
  <si>
    <t>Ambiental Int</t>
  </si>
  <si>
    <t>C303700071-8477-2310</t>
  </si>
  <si>
    <t>Sep-20</t>
  </si>
  <si>
    <t>Aporte de octubre 31 -2020</t>
  </si>
  <si>
    <t>Giro 40</t>
  </si>
  <si>
    <t>C303700071-8477-2308</t>
  </si>
  <si>
    <t>Cumplió aporte del mes de  Septiembre 2020</t>
  </si>
  <si>
    <t>Ago-20</t>
  </si>
  <si>
    <t>Aporte de Septiembre 30 -2020</t>
  </si>
  <si>
    <t>Giro 39</t>
  </si>
  <si>
    <t>C303700071-8477-2307</t>
  </si>
  <si>
    <t>Cumplió aporte del mes de Agosto 2020</t>
  </si>
  <si>
    <t>Jul-20</t>
  </si>
  <si>
    <t>Aporte de agosto 31 -2020</t>
  </si>
  <si>
    <t>Giro 38</t>
  </si>
  <si>
    <t>Total Establecido</t>
  </si>
  <si>
    <t>No Cumplió</t>
  </si>
  <si>
    <t>Septiembre -2020</t>
  </si>
  <si>
    <t>Aporte anual 2020</t>
  </si>
  <si>
    <t>Giro 6 Anual</t>
  </si>
  <si>
    <t>Giro 10 Semestral</t>
  </si>
  <si>
    <t>Giro 9 Semestral</t>
  </si>
  <si>
    <t>Giro 5 Anual</t>
  </si>
  <si>
    <t>Giro 8 Semestral</t>
  </si>
  <si>
    <t>Giro 4 Anual</t>
  </si>
  <si>
    <t>Giro 7 Semestral</t>
  </si>
  <si>
    <t>Giro 6 Semestral</t>
  </si>
  <si>
    <t>Giro 3 Anual</t>
  </si>
  <si>
    <t>Giro 5 Semestral</t>
  </si>
  <si>
    <t>Giro 4 Semestral</t>
  </si>
  <si>
    <t>Giro 2 Anual</t>
  </si>
  <si>
    <t>Giro 3 Semestral</t>
  </si>
  <si>
    <t>Giro 2 Semestral</t>
  </si>
  <si>
    <t>Giro 1 Semestral</t>
  </si>
  <si>
    <t>Giro 1 Anual</t>
  </si>
  <si>
    <t>Cumplió los fondeos los esta realizando anticipadamente (2 Aportes)</t>
  </si>
  <si>
    <t>sep-2020</t>
  </si>
  <si>
    <t>C303700071-8477-2311</t>
  </si>
  <si>
    <t>Sep-2020</t>
  </si>
  <si>
    <t>Intereses</t>
  </si>
  <si>
    <t>Interventoría y Supervisión Interes</t>
  </si>
  <si>
    <t>C303700071-8477-2313</t>
  </si>
  <si>
    <t>Septiembre-2020</t>
  </si>
  <si>
    <t>C303700071-8477-2309</t>
  </si>
  <si>
    <t>Agosto-2020</t>
  </si>
  <si>
    <t>C303700071-8477-2306</t>
  </si>
  <si>
    <t>Julio-2020</t>
  </si>
  <si>
    <t xml:space="preserve">C303700071-8477-2303 </t>
  </si>
  <si>
    <t xml:space="preserve">C303700071-8477-2301 
</t>
  </si>
  <si>
    <t xml:space="preserve">C303700071-8477-2300 
</t>
  </si>
  <si>
    <t xml:space="preserve">                              TOTAL Aportes EQUITY</t>
  </si>
  <si>
    <t xml:space="preserve">PK 1+800 </t>
  </si>
  <si>
    <t>PK 0+150</t>
  </si>
  <si>
    <t>PK 0+550</t>
  </si>
  <si>
    <t>MEJORAMIENTO DE CALZADA, CI</t>
  </si>
  <si>
    <t>C303700071-8477-2312</t>
  </si>
  <si>
    <t>Cumplió aporte del mes de Octubre 2020</t>
  </si>
  <si>
    <t>Ajuste IPC Aporte de octubre 31 -2020</t>
  </si>
  <si>
    <t>Aporte anual 2020 ajuste IPC</t>
  </si>
  <si>
    <t>60 meses desde la Fecha de Inicio Ajuste IPC</t>
  </si>
  <si>
    <t>UF 1</t>
  </si>
  <si>
    <t>UF 2</t>
  </si>
  <si>
    <t>UF 3</t>
  </si>
  <si>
    <t>UF 4</t>
  </si>
  <si>
    <t>De acuerdo con el programa de trabajo presentado por el concesionario para la UF3.1.D, el concesionario continuó actividades de excavación, de las galerías de conexión peatonal 6 y vehicular 3, de forma adelantada; teniendo en cuenta las fechas de inicio de construcción, no objetadas por la interventoría.</t>
  </si>
  <si>
    <r>
      <rPr>
        <b/>
        <sz val="11"/>
        <rFont val="Arial"/>
        <family val="2"/>
      </rPr>
      <t xml:space="preserve">PUENTE PK23+500 UF2.1. </t>
    </r>
    <r>
      <rPr>
        <sz val="11"/>
        <rFont val="Arial"/>
        <family val="2"/>
      </rPr>
      <t xml:space="preserve">Para este Puente  ya se terminó la etapa de la construcción de la </t>
    </r>
    <r>
      <rPr>
        <u/>
        <sz val="11"/>
        <rFont val="Arial"/>
        <family val="2"/>
      </rPr>
      <t>INFRAESTRUCTURA TERMINADA</t>
    </r>
    <r>
      <rPr>
        <sz val="11"/>
        <rFont val="Arial"/>
        <family val="2"/>
      </rPr>
      <t>: Construcción de los ESTRIBOS 1 y 2. Construcción de las PILAS 1, 2 y 3.
En cuanto a la</t>
    </r>
    <r>
      <rPr>
        <u/>
        <sz val="11"/>
        <rFont val="Arial"/>
        <family val="2"/>
      </rPr>
      <t xml:space="preserve"> SUPERESTRUCTURA TERMINADA</t>
    </r>
    <r>
      <rPr>
        <sz val="1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</si>
  <si>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1, 2.1 y 4</t>
  </si>
  <si>
    <t>Acuerdo de coexistencia proyectos superpuestos Autopistas al Mar 1 - Conexión Valles de Aburra - Rio Cauca, asociado a las modificaciones de las Licencias Ambientales Resoluciones 00606 del 25-05-17 y 00639 del 02-06-17</t>
  </si>
  <si>
    <t>Acuerdo superposición INVIAS 
Modificación UF1y3
• Según concepto técnico ANLA N°03835 del 19-01-19 presentado por el grupo evaluador de la ANLA, señaló que en cumplimiento del requerimiento N1 del acta 34 del 20-04-18, el Concesionario aportó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
Modificación UF2.1 
• • 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</si>
  <si>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 xml:space="preserve"> Con comunicado D009710 recibido el 05-09-19 se radicó PAGA de Rehabilitación V3.
 Con comunicado EPS4G-1067-19 radicado en el Concesionario con consecutivo 01-01-20190916015546 el 16-09-19, se presenta concepto de No Objeción a la V3 del PAGA de Rehabilitación de la UF4.2
2. Cierre ambiental: 
 Con comunicado EPS4G-0426-20 radicado vía correo electrónico el 30-04-2020, al considerarse cumplidas las obligaciones ambientales a cargo del Concesionario, quedando pendientes por cumplir las obligaciones ambientales que dependen de los tiempos exigidos por las autoridades ambientales para las actividades de compensación, rehabilitación ecológica, rescate, traslado y reubicación de epifitas y brinzales las cuales
</t>
  </si>
  <si>
    <t>PK 10+950</t>
  </si>
  <si>
    <t>Descapote + corte mecánico + perfilado de talud + sostenimiento - CI y Box gemelo # 057 (canalización de la Qda. La San Juana II)</t>
  </si>
  <si>
    <t>PK 17+650</t>
  </si>
  <si>
    <t>Corte talud (perfilación) - Consolidación, cubrimiento y sostenimiento - CD</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</si>
  <si>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SUPERESTRUCTURA TERMINADA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Instalación de plataformas y acero de refuerzo para construcción de voladizos vanos 1, 2, 3 y 4 y se funden por ambos costados</t>
    </r>
    <r>
      <rPr>
        <sz val="11"/>
        <color rgb="FFFF0000"/>
        <rFont val="Arial"/>
        <family val="2"/>
      </rPr>
      <t xml:space="preserve">. </t>
    </r>
    <r>
      <rPr>
        <sz val="11"/>
        <rFont val="Arial"/>
        <family val="2"/>
      </rPr>
      <t>Instalación acero de refuerzo y encofrado New Jersey y se funden módulos por ambos costados.  Se termina acabados en módulos fundidos. Pendiente instalación de juntas de dilatación.</t>
    </r>
  </si>
  <si>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TERMINADA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xml:space="preserve">. </t>
    </r>
    <r>
      <rPr>
        <sz val="11"/>
        <rFont val="Arial"/>
        <family val="2"/>
      </rPr>
      <t xml:space="preserve"> Instalación de plataformas y acero de refuerzo para construcción de voladizos vanos 1, 2 y 3. Se funden  por ambos costados. Instalación acero de refuerzo y encofrado de New Jersey por ambos costados y se funden. Finalizan acabados.</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</si>
  <si>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TERMINADA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t>
    </r>
    <r>
      <rPr>
        <sz val="11"/>
        <rFont val="Arial"/>
        <family val="2"/>
      </rPr>
      <t>Instalación acero de refuerzo y encofrado  New Jersey por ambos costados vanos 1, 2 y 3 y se funden. Finalizan acabados.</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</si>
  <si>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I</t>
    </r>
    <r>
      <rPr>
        <sz val="11"/>
        <rFont val="Arial"/>
        <family val="2"/>
      </rPr>
      <t>nstalación acero de refuerzo muro espaldar y aletas Estribo 1 y se funden.  Se instala acero de refuerzo y se funde losa de aproximación Estribo 1.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sísmicos. Se instala acero de refuerzo y se funde losa de aproximación Estribo 2.</t>
    </r>
    <r>
      <rPr>
        <sz val="11"/>
        <color theme="1"/>
        <rFont val="Arial"/>
        <family val="2"/>
      </rPr>
      <t xml:space="preserve">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funden </t>
    </r>
    <r>
      <rPr>
        <sz val="11"/>
        <rFont val="Arial"/>
        <family val="2"/>
      </rPr>
      <t>.Instalación acero de refuerzo y encofrado aletas y muro espaldar Estribo 2 y se funden.</t>
    </r>
    <r>
      <rPr>
        <sz val="11"/>
        <color rgb="FFFF0000"/>
        <rFont val="Arial"/>
        <family val="2"/>
      </rPr>
      <t xml:space="preserve"> </t>
    </r>
    <r>
      <rPr>
        <sz val="11"/>
        <rFont val="Arial"/>
        <family val="2"/>
      </rPr>
      <t>Instalación acero de refuerzo y encofrado New Jersey por ambos costados y se funden. Se finaliza acabados de módulos fundidos por ambos costados. 
Instalación de pernos de anclaje para juntas de dilatación  provicional, entre los Estribos y el Tablero. Falta instalar la carpeta asfáltica.</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</si>
  <si>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TERMINADA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</si>
  <si>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</si>
  <si>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 TERMINADA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</si>
  <si>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 TERMINADA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</si>
  <si>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TERMINADA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</si>
  <si>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Se  realiza el montaje del lanza-vigas.  En Vanos los 1, 2, 3 , 4,  5 , 6 y 7: Se instalan vigas prefabricadas sobre apoyos de neopreno, instalación de pre-losas, instalación acero de refuerzo de  las losas y diafragmas y se funden</t>
    </r>
    <r>
      <rPr>
        <sz val="11"/>
        <color rgb="FFFF0000"/>
        <rFont val="Arial"/>
        <family val="2"/>
      </rPr>
      <t xml:space="preserve">.  </t>
    </r>
    <r>
      <rPr>
        <sz val="11"/>
        <rFont val="Arial"/>
        <family val="2"/>
      </rPr>
      <t>Se instalan plataformas y acero de refuerzo para voladizos en el vano 1, 2 , 3 y  4  y se funden por ambos costados</t>
    </r>
    <r>
      <rPr>
        <sz val="11"/>
        <color rgb="FFFF0000"/>
        <rFont val="Arial"/>
        <family val="2"/>
      </rPr>
      <t xml:space="preserve">. </t>
    </r>
    <r>
      <rPr>
        <sz val="11"/>
        <rFont val="Arial"/>
        <family val="2"/>
      </rPr>
      <t>Instalación de acero de refuerzo y encofrado construcción de New Jersey por ambos costados, se funden módulos y se realizan acabados en módulos fundidos. Se treminan acabados.</t>
    </r>
    <r>
      <rPr>
        <sz val="11"/>
        <color rgb="FFFF0000"/>
        <rFont val="Arial"/>
        <family val="2"/>
      </rPr>
      <t xml:space="preserve"> Falta instalar juntas de dilatación.</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</si>
  <si>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TERMINADA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t>
    </r>
    <r>
      <rPr>
        <sz val="11"/>
        <rFont val="Arial"/>
        <family val="2"/>
      </rPr>
      <t xml:space="preserve"> Se funde losa de aproximación Estribo 1.</t>
    </r>
    <r>
      <rPr>
        <sz val="11"/>
        <color theme="1"/>
        <rFont val="Arial"/>
        <family val="2"/>
      </rPr>
      <t xml:space="preserve">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rFont val="Arial"/>
        <family val="2"/>
      </rPr>
      <t>SUPERESTRUCTURA</t>
    </r>
    <r>
      <rPr>
        <u/>
        <sz val="11"/>
        <color rgb="FFFF0000"/>
        <rFont val="Arial"/>
        <family val="2"/>
      </rPr>
      <t xml:space="preserve">
</t>
    </r>
    <r>
      <rPr>
        <sz val="11"/>
        <rFont val="Arial"/>
        <family val="2"/>
      </rPr>
      <t xml:space="preserve">Montaje del equipo lanza-vigas para instalación de vigas a partir del Estribo 2. Instalación de Vigas prefabricadas sobre apoyos de neopreno, pre-losas, acero de refuerzo de la losas y diafragmas y se funden en vanos 9, 8, 7 , 6, 5, 4, 3, 2 y 1. </t>
    </r>
    <r>
      <rPr>
        <sz val="11"/>
        <color rgb="FFFF0000"/>
        <rFont val="Arial"/>
        <family val="2"/>
      </rPr>
      <t xml:space="preserve">
</t>
    </r>
    <r>
      <rPr>
        <sz val="11"/>
        <rFont val="Arial"/>
        <family val="2"/>
      </rPr>
      <t>Instalación de plataforma y acero de refuerzo para voladizo izquierdo y derecho  vanos 9 , 8, 7, 6 , 5, 4 , 3 2  y 1 y se funden</t>
    </r>
    <r>
      <rPr>
        <sz val="11"/>
        <color rgb="FFFF0000"/>
        <rFont val="Arial"/>
        <family val="2"/>
      </rPr>
      <t>.</t>
    </r>
    <r>
      <rPr>
        <sz val="11"/>
        <rFont val="Arial"/>
        <family val="2"/>
      </rPr>
      <t xml:space="preserve"> Instalación acero de refuerzo y encofrado de New Jersey. Se funden módulos por ambos costados. Se realizan acabados.</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</si>
  <si>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 TERMINADA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Se funden las losas de aproximación Estribos 1 y 2.
</t>
    </r>
    <r>
      <rPr>
        <u/>
        <sz val="11"/>
        <color theme="1"/>
        <rFont val="Arial"/>
        <family val="2"/>
      </rPr>
      <t xml:space="preserve">SUPERESTRUCTURA
</t>
    </r>
    <r>
      <rPr>
        <sz val="11"/>
        <rFont val="Arial"/>
        <family val="2"/>
      </rPr>
      <t>Instación y montaje del equipo lanza-vigas. Vanos 1, 2 y 3: Instalación de vigas sobre apoyos de neopreno,  prelosas, construcción de diafragmas, instalación acero de refuerzo de losas  y se funden</t>
    </r>
    <r>
      <rPr>
        <sz val="11"/>
        <color rgb="FFFF0000"/>
        <rFont val="Arial"/>
        <family val="2"/>
      </rPr>
      <t>.</t>
    </r>
    <r>
      <rPr>
        <sz val="11"/>
        <rFont val="Arial"/>
        <family val="2"/>
      </rPr>
      <t xml:space="preserve"> Instalación plataformas, acero de refuerzo para voladizos 1 y 2 costado derecho e izquierdo  y se funden. Instalación acero de refuerzo y encofrado de New Jersey por ambos costados y se funden módulos.</t>
    </r>
    <r>
      <rPr>
        <sz val="11"/>
        <color rgb="FFFF0000"/>
        <rFont val="Arial"/>
        <family val="2"/>
      </rPr>
      <t xml:space="preserve"> </t>
    </r>
    <r>
      <rPr>
        <sz val="11"/>
        <rFont val="Arial"/>
        <family val="2"/>
      </rPr>
      <t>Se finalizan acabados de módulos fundidos.</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</si>
  <si>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sz val="11"/>
        <rFont val="Arial"/>
        <family val="2"/>
      </rPr>
      <t>ESTRIBO 2. caisson 9 h=7,4m, caisson 10 h=8,2m, caisson 11 h=10,75m, caisson 12 h=10,75m</t>
    </r>
    <r>
      <rPr>
        <sz val="11"/>
        <color theme="1"/>
        <rFont val="Arial"/>
        <family val="2"/>
      </rPr>
      <t xml:space="preserve">
</t>
    </r>
    <r>
      <rPr>
        <u/>
        <sz val="11"/>
        <color theme="1"/>
        <rFont val="Arial"/>
        <family val="2"/>
      </rPr>
      <t>INFRAESTRUCTURA</t>
    </r>
    <r>
      <rPr>
        <sz val="11"/>
        <color theme="1"/>
        <rFont val="Arial"/>
        <family val="2"/>
      </rPr>
      <t xml:space="preserve">
ESTRIBO 1. Instalación de acero de refuerzo de los núcleos Caissons 1 y 2 y se funden. Excavación y adecuación área para construcción Estribo calzada derecha.</t>
    </r>
    <r>
      <rPr>
        <sz val="11"/>
        <rFont val="Arial"/>
        <family val="2"/>
      </rPr>
      <t xml:space="preserve"> Instalación acero de refuerzo y encofrado Viga Cabezal, cuerpo del Estribo calzada derecha y se funde Viga Cabezal con topes sísmicos y pedestales. Se termina de fundir el cuerpo del Estribo.</t>
    </r>
    <r>
      <rPr>
        <sz val="11"/>
        <color theme="1"/>
        <rFont val="Arial"/>
        <family val="2"/>
      </rPr>
      <t xml:space="preserve">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t>
    </r>
    <r>
      <rPr>
        <sz val="11"/>
        <rFont val="Arial"/>
        <family val="2"/>
      </rPr>
      <t>ESTRIBO 2. Instalación acero de refuerzo núcleos de Caissons 9, 10, 11 y 12 y se funden. Se funde slolado para construir Viga Cabezal ambas calzadas. Instalación acero de refuerzo y encofrado Viga Cabezal y se funde con topes sísmicos y pedestales. Instalación acero de refuerzo y encofrado  cuerpo del Estribo y aletas y se funden.</t>
    </r>
    <r>
      <rPr>
        <sz val="11"/>
        <color rgb="FFFF0000"/>
        <rFont val="Arial"/>
        <family val="2"/>
      </rPr>
      <t xml:space="preserve"> </t>
    </r>
    <r>
      <rPr>
        <sz val="11"/>
        <rFont val="Arial"/>
        <family val="2"/>
      </rPr>
      <t>Se instala acero de refuerzo y se funde losa de aproximación.</t>
    </r>
    <r>
      <rPr>
        <sz val="11"/>
        <color rgb="FFFF0000"/>
        <rFont val="Arial"/>
        <family val="2"/>
      </rPr>
      <t xml:space="preserve">
</t>
    </r>
    <r>
      <rPr>
        <u/>
        <sz val="11"/>
        <rFont val="Arial"/>
        <family val="2"/>
      </rPr>
      <t>SUPERESTRUCTURA</t>
    </r>
    <r>
      <rPr>
        <u/>
        <sz val="11"/>
        <color rgb="FFFF0000"/>
        <rFont val="Arial"/>
        <family val="2"/>
      </rPr>
      <t xml:space="preserve">
</t>
    </r>
    <r>
      <rPr>
        <sz val="11"/>
        <rFont val="Arial"/>
        <family val="2"/>
      </rPr>
      <t>Se instalan Vigas prefabricadas sobre apoyos de neopreno en el vano 1 para ambas calzadas. Se construye diafragma, se instalan pre-losas y acero de refuerzo de la losa y se funde. Se instalan Vigas prefabricadas sobre apoyos de neopreno en el Vano 2 calzada derecha e izquierda.Se construyen diafragmas, se instalan pre-losas Tipo B e instalación acero de refuerzo de la losa y se funden. Instalación de plataforma y acero de refuerzo para voladizos costado derecho e izquierdo de la calzada derecha vanos 1 y 2 y se funden. Para la calzada izquierda  vano 2,  se instala plataforma y acero de refuerzo del voladizo costado izquierdo.  y derecho y se funden. Se instala acero de refuerzo y encofrado en defensas tipo New Jersey. se funden módulos costado derecho e izquierdo de las calzadas derecha e izquierda. Se realizan acabados.</t>
    </r>
    <r>
      <rPr>
        <sz val="11"/>
        <color theme="1"/>
        <rFont val="Arial"/>
        <family val="2"/>
      </rPr>
      <t xml:space="preserve">
El avance en excavación y construcción de anillos es del 107,3%</t>
    </r>
  </si>
  <si>
    <r>
      <rPr>
        <b/>
        <sz val="11"/>
        <color theme="1"/>
        <rFont val="Arial"/>
        <family val="2"/>
      </rPr>
      <t>PUENTE PK9+160 UF1 DOBLE CALZADA:</t>
    </r>
    <r>
      <rPr>
        <sz val="11"/>
        <color theme="1"/>
        <rFont val="Arial"/>
        <family val="2"/>
      </rPr>
      <t xml:space="preserve"> El concesionario inicia con la construcción de caminos de acceso al sitio de las obras yreplanteo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t>
    </r>
    <r>
      <rPr>
        <sz val="11"/>
        <color rgb="FFFF0000"/>
        <rFont val="Arial"/>
        <family val="2"/>
      </rPr>
      <t xml:space="preserve"> El concesionario deja abandonada esta obra</t>
    </r>
    <r>
      <rPr>
        <sz val="11"/>
        <color theme="1"/>
        <rFont val="Arial"/>
        <family val="2"/>
      </rPr>
      <t xml:space="preserve">
El avance en excavación y construcción de anillos es del 115,4%</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</si>
  <si>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t>
    </r>
    <r>
      <rPr>
        <u/>
        <sz val="11"/>
        <color theme="1"/>
        <rFont val="Arial"/>
        <family val="2"/>
      </rPr>
      <t>INFRAESTRUCTURA  TERMINADA,</t>
    </r>
    <r>
      <rPr>
        <u/>
        <sz val="11"/>
        <color rgb="FFFF0000"/>
        <rFont val="Arial"/>
        <family val="2"/>
      </rPr>
      <t xml:space="preserve"> </t>
    </r>
    <r>
      <rPr>
        <sz val="11"/>
        <color rgb="FFFF0000"/>
        <rFont val="Arial"/>
        <family val="2"/>
      </rPr>
      <t>Frente de Obra Inactivo.</t>
    </r>
    <r>
      <rPr>
        <sz val="11"/>
        <color theme="1"/>
        <rFont val="Arial"/>
        <family val="2"/>
      </rPr>
      <t xml:space="preserve"> Falta la SUPERESTRUCTURA del Puente.</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</si>
  <si>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rFont val="Arial"/>
        <family val="2"/>
      </rPr>
      <t>PILA 2: Caisson 5 h=8,1m, Cais</t>
    </r>
    <r>
      <rPr>
        <sz val="11"/>
        <color theme="1"/>
        <rFont val="Arial"/>
        <family val="2"/>
      </rPr>
      <t xml:space="preserve">son 6 h=8,8m
ESTRIBO 2: Caisson 7 h=5,50m, Caisson 8 h=6m
</t>
    </r>
    <r>
      <rPr>
        <u/>
        <sz val="11"/>
        <color theme="1"/>
        <rFont val="Arial"/>
        <family val="2"/>
      </rPr>
      <t xml:space="preserve">INFRAESTRUCTURA TERMINADA.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t>
    </r>
    <r>
      <rPr>
        <sz val="11"/>
        <rFont val="Arial"/>
        <family val="2"/>
      </rPr>
      <t>PILA 2: Instalación acero de refuerzo núcleo caisson 5 y 6 y de funden. Instalación acero de refuerzo y encofrado elevación Columnas y se funden hasta el nivel de la Viga cabezal. Instalación andamios de carga, plataforma, acero de refuerzo, encofrado y se funde Viga cabezal con topes sísmicos y pedestales.
ESTRIBO 2. Instalación acero de refuerzo núcleos Caissons 7 y 8 y se funden. Instalación acero de refuerzo Viga Cabezal y se funde. Instalación acero de refuerzo y encofrado</t>
    </r>
    <r>
      <rPr>
        <sz val="11"/>
        <color theme="1"/>
        <rFont val="Arial"/>
        <family val="2"/>
      </rPr>
      <t xml:space="preserve"> cuerpo del Estribo y se funde.</t>
    </r>
    <r>
      <rPr>
        <sz val="11"/>
        <color rgb="FFFF0000"/>
        <rFont val="Arial"/>
        <family val="2"/>
      </rPr>
      <t xml:space="preserve"> </t>
    </r>
    <r>
      <rPr>
        <sz val="11"/>
        <rFont val="Arial"/>
        <family val="2"/>
      </rPr>
      <t xml:space="preserve">Instalación acero de refuerzo y encofrado aletas, pedestales y topes sísmicos y se funden. Se funde losa aproximación Estribo 2.
</t>
    </r>
    <r>
      <rPr>
        <u/>
        <sz val="11"/>
        <rFont val="Arial"/>
        <family val="2"/>
      </rPr>
      <t xml:space="preserve">SUPERESTRUCTURA
</t>
    </r>
    <r>
      <rPr>
        <sz val="11"/>
        <rFont val="Arial"/>
        <family val="2"/>
      </rPr>
      <t>Instalación de mortero de nivelación con sika Grout spbre pesetales. Montaje del Equipo lanza-vigas.</t>
    </r>
    <r>
      <rPr>
        <sz val="11"/>
        <color rgb="FFFF0000"/>
        <rFont val="Arial"/>
        <family val="2"/>
      </rPr>
      <t xml:space="preserve">
</t>
    </r>
    <r>
      <rPr>
        <sz val="11"/>
        <rFont val="Arial"/>
        <family val="2"/>
      </rPr>
      <t>Vanos 1 , 2 y 3: Instalación de vigas prefabricadas sobre apoyos de neopreno, construcción de diafragmas, instalación de pre-losas, acero de refuerzo de las losas y se funden. Instalación de plataformas y acero de refuerzo voladizos izquierdo  y derecho vanos 1, 2 y 3 y se funden.</t>
    </r>
    <r>
      <rPr>
        <sz val="11"/>
        <color rgb="FFFF0000"/>
        <rFont val="Arial"/>
        <family val="2"/>
      </rPr>
      <t xml:space="preserve"> </t>
    </r>
    <r>
      <rPr>
        <sz val="11"/>
        <rFont val="Arial"/>
        <family val="2"/>
      </rPr>
      <t>Instalación acero de refuerzo y encofrado módulos de New Jersey  ambos costados. y se funden. Se realizan acabados. Falta instalación de juntas de dilatación.</t>
    </r>
    <r>
      <rPr>
        <sz val="11"/>
        <color rgb="FFFF0000"/>
        <rFont val="Arial"/>
        <family val="2"/>
      </rPr>
      <t xml:space="preserve">
</t>
    </r>
    <r>
      <rPr>
        <sz val="11"/>
        <color theme="1"/>
        <rFont val="Arial"/>
        <family val="2"/>
      </rPr>
      <t xml:space="preserve">
El avance en la excavación y fundida de anillos es del 109,7%.</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</si>
  <si>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r>
      <rPr>
        <sz val="11"/>
        <color rgb="FFFF0000"/>
        <rFont val="Arial"/>
        <family val="2"/>
      </rPr>
      <t xml:space="preserve"> 
</t>
    </r>
    <r>
      <rPr>
        <u/>
        <sz val="11"/>
        <rFont val="Arial"/>
        <family val="2"/>
      </rPr>
      <t xml:space="preserve">SUPERESTRUCTURA
</t>
    </r>
    <r>
      <rPr>
        <sz val="11"/>
        <rFont val="Arial"/>
        <family val="2"/>
      </rPr>
      <t>Montaje del Equipo lanza-vigas e instalación de mortero de nivelación con Sika Grout sobre pedestales.</t>
    </r>
    <r>
      <rPr>
        <sz val="11"/>
        <color rgb="FFFF0000"/>
        <rFont val="Arial"/>
        <family val="2"/>
      </rPr>
      <t xml:space="preserve">
</t>
    </r>
    <r>
      <rPr>
        <sz val="11"/>
        <rFont val="Arial"/>
        <family val="2"/>
      </rPr>
      <t>Vanos 1 y 2: Instalación de Vigas prefabricadas sobre apoyos de neopreno, construcción de Diafragmas, instalación de pre-losas y acero de refuerzo de las losas y se  funden</t>
    </r>
    <r>
      <rPr>
        <sz val="11"/>
        <color rgb="FFFF0000"/>
        <rFont val="Arial"/>
        <family val="2"/>
      </rPr>
      <t>.</t>
    </r>
    <r>
      <rPr>
        <sz val="11"/>
        <rFont val="Arial"/>
        <family val="2"/>
      </rPr>
      <t xml:space="preserve"> Instalación de plataforma y acero de refuerzo para voladizos ambos costados y se funden</t>
    </r>
    <r>
      <rPr>
        <sz val="11"/>
        <color rgb="FFFF0000"/>
        <rFont val="Arial"/>
        <family val="2"/>
      </rPr>
      <t>.</t>
    </r>
    <r>
      <rPr>
        <sz val="11"/>
        <rFont val="Arial"/>
        <family val="2"/>
      </rPr>
      <t xml:space="preserve"> Instalación acero de refuerzo New Jersey costado izquierdo y derecho y se funden; se realizan acabados. Falta instalación de juntas de dilatación.</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</si>
  <si>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 TERMINADA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 TERMINADA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</si>
  <si>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 TERMINADA: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TERMINADA: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</si>
  <si>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INFRAESTRUCTURA TERMINADA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SUPERESTRUCTURA TERMINADA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Se instala acero de refuerzo losa de aproximación Estribo 1 y se funde.</t>
    </r>
  </si>
  <si>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t>
    </r>
    <r>
      <rPr>
        <sz val="11"/>
        <rFont val="Arial"/>
        <family val="2"/>
      </rPr>
      <t>Se realiza instalación de baranda metálica por ambos costados del puente. Instalación de anticorrocivo y pintura. Se termina esta actividad.</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</si>
  <si>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</si>
  <si>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</si>
  <si>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</si>
  <si>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Ampliación Puente 23 La Muñoz II UF2.1</t>
  </si>
  <si>
    <t>Ampliación Puente 24 La Guaracú II UF2.1</t>
  </si>
  <si>
    <t>Ampliación Puente 28 El Sapo UF2.1</t>
  </si>
  <si>
    <t>Ampliación Puente 27 La Guaira UF2.1</t>
  </si>
  <si>
    <t>Ampliación Puente 3 La Cola UF1</t>
  </si>
  <si>
    <t>Ampliación Puente 1  La Negra UF1</t>
  </si>
  <si>
    <t>Ampliación Puente 4  La Nuez UF1</t>
  </si>
  <si>
    <t>Ampliación Puente 5  La Causala UF1</t>
  </si>
  <si>
    <t>Ampliación Puente 11  La Roncha UF1</t>
  </si>
  <si>
    <t>Ampliación Puente 9  San Gregorio UF1</t>
  </si>
  <si>
    <t>Ampliación Puente 2  La Volcana UF1</t>
  </si>
  <si>
    <t>C303700071-8477-0055</t>
  </si>
  <si>
    <t>C303700071-8477-2294</t>
  </si>
  <si>
    <t>C303700071-8477-2287</t>
  </si>
  <si>
    <t>C303700071-8477-2286</t>
  </si>
  <si>
    <t>No hay certificación de este fondeo</t>
  </si>
  <si>
    <t>C303700071-8477-2280</t>
  </si>
  <si>
    <t>C303700071-8477-2277</t>
  </si>
  <si>
    <t>C303700071-8477-2273</t>
  </si>
  <si>
    <t>Fecha del fondeo 27 de noviembre de 2018</t>
  </si>
  <si>
    <t>C303700071-8477-2272</t>
  </si>
  <si>
    <t>Fecha del fondeo 28 de noviembre de 2018 / Esta certificación tiene el mismo numero de certificación del giro 13, pero son dos documentos diferentes.</t>
  </si>
  <si>
    <t>C303700071-8477-2270</t>
  </si>
  <si>
    <t>C303700071-8477-2268</t>
  </si>
  <si>
    <t>C303700071-8477-2265</t>
  </si>
  <si>
    <t>C303700071-8477-2264</t>
  </si>
  <si>
    <t>C303700071-8477-2261</t>
  </si>
  <si>
    <t>C303700071-8477-2260</t>
  </si>
  <si>
    <t>Fecha del fondeo 02 de mayo de 2018</t>
  </si>
  <si>
    <t>C303700071-8477-2257</t>
  </si>
  <si>
    <t>C303700071-8477-2255</t>
  </si>
  <si>
    <t>C303700071-8477-2251</t>
  </si>
  <si>
    <t>C303700071-8477-2246</t>
  </si>
  <si>
    <t>C303700071-8477-2247</t>
  </si>
  <si>
    <t>C303700071-8477-1491</t>
  </si>
  <si>
    <t>C303700071-8477-2304</t>
  </si>
  <si>
    <t>C303700071-8477-2302</t>
  </si>
  <si>
    <t>C303700071-8477-2299</t>
  </si>
  <si>
    <t>C303700071-8477-2296</t>
  </si>
  <si>
    <t>C303700071-8477-2295</t>
  </si>
  <si>
    <t>C303700071-8477-2292</t>
  </si>
  <si>
    <t>C303700071-8477-2291</t>
  </si>
  <si>
    <t>C303700071-8477-2290</t>
  </si>
  <si>
    <t>C303700071-8477-2285</t>
  </si>
  <si>
    <t>C303700071-8477-2279</t>
  </si>
  <si>
    <t>C303700071-8477-2278</t>
  </si>
  <si>
    <t>C303700071-8477-2275</t>
  </si>
  <si>
    <t>C303700071-8477-2267</t>
  </si>
  <si>
    <t>C303700071-8477-2263</t>
  </si>
  <si>
    <t>C303700071-8477-2256</t>
  </si>
  <si>
    <t>C303700071-8477-2254</t>
  </si>
  <si>
    <t>C303700071-8477-2250</t>
  </si>
  <si>
    <t>C303700071-8477-2305</t>
  </si>
  <si>
    <t>C303700071-8477-2289</t>
  </si>
  <si>
    <t>C303700071-8477-2288</t>
  </si>
  <si>
    <t>C303700071-8477-2274</t>
  </si>
  <si>
    <t>Valor del fondeo 76.344.124</t>
  </si>
  <si>
    <t>Valor del fondeo 387.419.066</t>
  </si>
  <si>
    <t>No hay certificación</t>
  </si>
  <si>
    <t>C303700071-8477-2276</t>
  </si>
  <si>
    <t>C303700071-8477-2271</t>
  </si>
  <si>
    <t>C303700071-8477-2262</t>
  </si>
  <si>
    <t>C303700071-8477-2258</t>
  </si>
  <si>
    <t>C303700071-8477-2281</t>
  </si>
  <si>
    <t>Fecha del fondeo 26 de mayo de 2020</t>
  </si>
  <si>
    <t>C303700071-8477-2298</t>
  </si>
  <si>
    <t>C303700071-8477-2297</t>
  </si>
  <si>
    <t>C303700071-8477-2293</t>
  </si>
  <si>
    <t>C303700071-8477-2284</t>
  </si>
  <si>
    <t>C303700071-8477-2269</t>
  </si>
  <si>
    <t>C303700200-8477-0401</t>
  </si>
  <si>
    <t>C303700200-8477-0399</t>
  </si>
  <si>
    <t>C303700200-8477-0361</t>
  </si>
  <si>
    <t>C303700200-8477-0336</t>
  </si>
  <si>
    <t>C303700200-8477-0309</t>
  </si>
  <si>
    <t>C303700200-8477-0273</t>
  </si>
  <si>
    <t>C303700200-8477-0262</t>
  </si>
  <si>
    <t>Fecha del aporte 18 de marzo de 2019</t>
  </si>
  <si>
    <t>C303700200-8477-0139</t>
  </si>
  <si>
    <t>C303700200-8477-0102</t>
  </si>
  <si>
    <t>C303700200-8477-0088</t>
  </si>
  <si>
    <t>C303700200-8477-1343</t>
  </si>
  <si>
    <t>C303700200-8477-1164</t>
  </si>
  <si>
    <t>C303700200-8477-1096</t>
  </si>
  <si>
    <t>C303700200-8477-1018</t>
  </si>
  <si>
    <t>C303700200-8477-0933</t>
  </si>
  <si>
    <t>C303700200-8477-0762</t>
  </si>
  <si>
    <t>C303700200-8477-0367</t>
  </si>
  <si>
    <r>
      <t xml:space="preserve">PUENTE PK9+777 UF1. </t>
    </r>
    <r>
      <rPr>
        <sz val="11"/>
        <color theme="1"/>
        <rFont val="Arial"/>
        <family val="2"/>
      </rPr>
      <t xml:space="preserve">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t>
    </r>
    <r>
      <rPr>
        <sz val="11"/>
        <color rgb="FFFF0000"/>
        <rFont val="Arial"/>
        <family val="2"/>
      </rPr>
      <t xml:space="preserve"> El concesionario deja abandonada esta obra.</t>
    </r>
    <r>
      <rPr>
        <sz val="11"/>
        <color theme="1"/>
        <rFont val="Arial"/>
        <family val="2"/>
      </rPr>
      <t xml:space="preserve">
El avance en excavación y construcción de anillos es del 69,1%</t>
    </r>
  </si>
  <si>
    <r>
      <t xml:space="preserve">• Concesionario realizó presentación a la ANLA el 26-06-18 del estado del proceso de elaboración del acuerdo de coexistencia entre proyectos superpuestos “Conexión valles de aburra- Rio Cauca” – “Autopistas al Mar 1” en el marco de los trámites de solicitud de modificación de licencias ambientales, lo anterior teniendo en cuenta las dificultades presentadas durante la gestión realizada ante el INVIAS por parte del Concesionario para lograr la firma del acuerdo de Coexistencia de proyectos superpuestos.
</t>
    </r>
    <r>
      <rPr>
        <b/>
        <sz val="11"/>
        <color theme="1"/>
        <rFont val="Arial"/>
        <family val="2"/>
      </rPr>
      <t xml:space="preserve">De acuerdo a lo anterior y en vista que durante el proceso de evaluación del trámite de modificación no se logro presentar un acuerdo de coexistencia la ANLA realizó visita de evaluación al proyecto pronunciándose en el concepto técnico del grupo evaluador  N°03835 del 19-01-18 y la Resolución de Modificación de la Licencia Ambiental  ANLA 02472 del 27-12-18 </t>
    </r>
    <r>
      <rPr>
        <sz val="11"/>
        <color theme="1"/>
        <rFont val="Arial"/>
        <family val="2"/>
      </rPr>
      <t xml:space="preserve">
• 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r>
  </si>
  <si>
    <r>
      <rPr>
        <b/>
        <sz val="11"/>
        <rFont val="Arial"/>
        <family val="2"/>
      </rPr>
      <t>Primera solicitud Sustracción de Reserva</t>
    </r>
    <r>
      <rPr>
        <sz val="11"/>
        <rFont val="Arial"/>
        <family val="2"/>
      </rPr>
      <t xml:space="preserve">: Con Acuerdo del Consejo Directivo de Corantioquia N°180-ACU1706-499 del 09-06-17, negó sustracción del área de Reserva Ribereña del Río Cauca para las actividades de Mejoramiento y Construcción de las UF2.1. 
 </t>
    </r>
    <r>
      <rPr>
        <b/>
        <sz val="11"/>
        <rFont val="Arial"/>
        <family val="2"/>
      </rPr>
      <t>Segunda solicitud de sustracción de Reserva</t>
    </r>
    <r>
      <rPr>
        <sz val="11"/>
        <rFont val="Arial"/>
        <family val="2"/>
      </rPr>
      <t>: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r>
  </si>
  <si>
    <t>Modificación Licencia Ambiental Resolución 00606 del 25 de mayo de 2017 
UF1 y UF3 punto de vertimiento Q. la Culebra</t>
  </si>
  <si>
    <t>• Con Resolución 00885 del 22-05-19 ANLA autorizó Modificación de Licencia Ambiental Resolución 00639, asociada a la inclusión del Polígono de la fuente de materiales Q. Seca. Esta pendiente dentro del plazo, por el Concesionario definir si interpondrá Recurso de reposición para las actividades que no fueron aprobadas
Autorización temporal Q. Seca
•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</si>
  <si>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</si>
  <si>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Según ajustes realizados por el concesionario se informó que no se requiere de SRRRC para la Modificación de la Licencia Ambiental  UF2.1.</t>
  </si>
  <si>
    <t xml:space="preserve">• Solicitud con radicado Corantioquia 120-COE1811-37916 del 23-11-18.
• Visita de evaluación el 20-12-18
• Auto de inicio 040-ADM1812-6183 del 10-12-18
• Con consecutivo D-4079-2018-1 radicado el 28-12-18, concesionario remitió ajustes al documento de solicitud de SRRRC enviado con radicado 120-COE1811-37916 
•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</si>
  <si>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Se negó con Resolución Corantioquia 040-RES1706-2857 el 07-06-17 primera solicitud asociada a la Licencia Ambiental Resolución 0639 del 02-06-18
Se negó con Resolución Corantioquia 040-RES1712-7098 del 14-12-17  y notificada el 04-01-18, segunda solicitud 
Aprobó con resolución Con resolución Corantioquia 040-RES1808-4625 del 01-08-18 notificada el 09-08-18   tercera solicitud</t>
  </si>
  <si>
    <t>• Corantioquia autorizó levantamiento de veda regional con resolución 040-RES1901-111 del 15-01-19</t>
  </si>
  <si>
    <t xml:space="preserve">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 </t>
  </si>
  <si>
    <t>Se autorizó con Resolución Corantioquia 160HX-RES1711-6262 del 14-11-17</t>
  </si>
  <si>
    <t xml:space="preserve">Programa 1. Atención al usuario </t>
  </si>
  <si>
    <t>REGISTRO FOTOGRAFICO</t>
  </si>
  <si>
    <t xml:space="preserve">N° </t>
  </si>
  <si>
    <t>ELABORÓ</t>
  </si>
  <si>
    <t>RCM</t>
  </si>
  <si>
    <t>EAUP</t>
  </si>
  <si>
    <r>
      <rPr>
        <b/>
        <sz val="11"/>
        <color theme="1"/>
        <rFont val="Arial"/>
        <family val="2"/>
      </rPr>
      <t xml:space="preserve">PUENTE PK23+860 UF2.1. (MARCO SOPETRAN )
</t>
    </r>
    <r>
      <rPr>
        <sz val="11"/>
        <color theme="1"/>
        <rFont val="Arial"/>
        <family val="2"/>
      </rPr>
      <t xml:space="preserve">En este marco construido, se observa fisura longitudinal por el centro de la losa superior cara inferior, lo mismo que en la cara superior  y hacia el costado izquierdo cerca del muro vertical. El concesionario esta instalando acero de refuerzo para construir una viga en concreto reforzado en la losa inferior a la entrada y salida del Box-Coulvert. El mismo procedimiento lo esta realizaren la losa superior, para mitigar estas fisuras. La interventoría solicitó al concesionario el diseño y procedimiento que se esta utilizando. El concesionario envió respuesta al comunicado EPS4G-0718-20, adjunntando el RFI-277 con oficio 02-01-20200728002163. La interventoría da la No Objeción con oficio EPS4G-0801-20 del 5 de Agosto de 2020.
</t>
    </r>
    <r>
      <rPr>
        <sz val="11"/>
        <rFont val="Arial"/>
        <family val="2"/>
      </rPr>
      <t>El concesionario de acuerdo al diseño presentado construye Vigas en concreto reforzado complementarias en la losa inferior y superior. Se realiza instalación de acero de refuerzo y encofrado para las defensas tipo New Jersey en la losa superior y se funden. Se termina actividad. Instalación acero de refuerzo losa aproximación lado Medellín y se funde. Se instala acero de refuerzo losa aproximación lado Santafé de Antioquia y se funde.</t>
    </r>
  </si>
  <si>
    <t>Perdida de banca, La Potrera - CD * Muro en HA # 167</t>
  </si>
  <si>
    <t>Inactivo. Mediante el uso del tren o equipo de pavimentación Dynapac, se extendió y coloco la capa intermedia de mezcla asfáltica tipo MSC-25. Seguidamente se hizo la demarcación horizontal, utilizando pintura para trafico (B/A) a base de agua. También se instalaron defensas metálicas tipo bionda. Se habilito el paso del transito automotor para liberar y entrar a rehabilitar la calzada existente.</t>
  </si>
  <si>
    <t>Inactivo. Después de realizar la actividad de demarcación horizontal sobre la CD, con el uso de pintura para trafico B/A se autorizo el desvío del transito automotor. 
Se intervino la calzada existente con fresado en frio levantando toda su capa asfáltica, se imprimaron los granulares y se coloco la capa MSC-25. Sector El Sapo - Meloneras.</t>
  </si>
  <si>
    <t xml:space="preserve">INTERCAMBIADOR VIAL o ENLACE: Muros en TA + Marco en HA # 040 Se incluyen: llenos sobre el trasdós / intradós + Drenajes + Redes ITS + traslado de redes secas y nueva torre eléctrica. </t>
  </si>
  <si>
    <t xml:space="preserve">Inactivo. Realizada la totalidad de llenos (sub base y base granular) debidamente compactados se les realizo la imprimación utilizando emulsión asfáltica de rompimiento lento. Se seguirá acondicionando el acceso a Sindelhato. Se habilitaron entradas (a un nivel mas bajo) para fincas sobre el CD. Hacia el final del frente de obra (o PK mayor) se construyo buzón y descole. El transito automotor circula por la calzada antigua. </t>
  </si>
  <si>
    <t xml:space="preserve">Inactivo. Se realizo demolición de cunetas en concreto "recién construidas" para corregir su desnivel y que no se detenga el agua lluvia formando una piscina. La solución es la construcción de un canal que verterá las aguas hacia el buzón de la ODT # 151. Personal termino el tapado con mortero de cemento de los faltantes entre el concreto lanzado y el bordillo de las cunetas. Se tiene transito automotor por la nueva calzada (en una dirección) y por la antigua calzada (en otra dirección), suprimiéndose totalmente un PARE / SIGA. Sector de La Laguna. </t>
  </si>
  <si>
    <t>PK 33+500 CI</t>
  </si>
  <si>
    <t>FOTO 7</t>
  </si>
  <si>
    <t>FOTO 8</t>
  </si>
  <si>
    <t>FOTO 9</t>
  </si>
  <si>
    <t>FOTO 10</t>
  </si>
  <si>
    <r>
      <t>Puente PK 5+240 UF 1-  ESTRIBO 1.</t>
    </r>
    <r>
      <rPr>
        <b/>
        <sz val="11"/>
        <rFont val="Calibri"/>
        <family val="2"/>
        <scheme val="minor"/>
      </rPr>
      <t xml:space="preserve"> M</t>
    </r>
    <r>
      <rPr>
        <sz val="11"/>
        <rFont val="Calibri"/>
        <family val="2"/>
        <scheme val="minor"/>
      </rPr>
      <t>uro complementario de Estribo. Costado izquierdo fundido y lleno con material de base.</t>
    </r>
  </si>
  <si>
    <t>Puente PK 5+240 UF 1-  ESTRIBO 1. Muro complementario de Estribo. Costado izquierdo fundido y lleno con material de base.</t>
  </si>
  <si>
    <t>comité previa aprobacion</t>
  </si>
  <si>
    <t>C303700071-8477-2314</t>
  </si>
  <si>
    <t>Octubre-2020</t>
  </si>
  <si>
    <t>C303700200-8477-0554</t>
  </si>
  <si>
    <t xml:space="preserve">Inactivo. Después de aplicada la mezcla asfáltica en caliente, tipo MSC-25, se llevo a cabo la demarcación horizontal con pintura para trafico en color (B/A). También se construyeron tramos de cunetas con sección en L y se colocaron defensas metálicas tipo bionda. El tramo se dio al servicio del transito automotor. Por lo tanto la calzada existente entrara para su intervención con los trabajos de mejoramiento y desmantelamiento de puentes existentes. </t>
  </si>
  <si>
    <t>Acopio, trasiego y  procesamiento del material de descombro traído de los portales del nuevo túnel. Planta Kleemann + Lanza vigas + MSC-25</t>
  </si>
  <si>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Estribo.Instalación acero de refuerzo y encofrado Dovela sobre Estribo y se funde. Instalación acero de refuerzo y encofrado muro espaldar y aletas y se funden.</t>
    </r>
    <r>
      <rPr>
        <sz val="11"/>
        <color rgb="FFFF0000"/>
        <rFont val="Arial"/>
        <family val="2"/>
      </rPr>
      <t xml:space="preserve"> </t>
    </r>
    <r>
      <rPr>
        <sz val="11"/>
        <rFont val="Arial"/>
        <family val="2"/>
      </rPr>
      <t>Se funde losa de aproximación Estribo 1.</t>
    </r>
    <r>
      <rPr>
        <sz val="11"/>
        <color rgb="FFFF0000"/>
        <rFont val="Arial"/>
        <family val="2"/>
      </rPr>
      <t xml:space="preserve"> </t>
    </r>
    <r>
      <rPr>
        <sz val="11"/>
        <rFont val="Arial"/>
        <family val="2"/>
      </rPr>
      <t>Instalación acero de refuerzo, encofrado y se funde muro complementario en Estribo 1 costafo izquierdo. Se realiza lleno con material granular.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t>
    </r>
    <r>
      <rPr>
        <sz val="11"/>
        <rFont val="Arial"/>
        <family val="2"/>
      </rPr>
      <t>Instalación acero de refuerzo y encofrado de columnas rectangulares y se funden hasta el nidel de Dovela sobre pila h=20,45m.
PILA 2: Se funden caisson 7, 8, 9 y 10. Se adecua área para construcción del Dado, se instala plataforma y acero de refuerzo del dado y se funde. Se funden Columnas A y B hasta el nivel de Dovelas.
ESTRIBO 2: Se funden los núcleos de los Caissos 11 y 12. Se instala acero de refuerzo Viga Cabezal y se funde. Instalación acero de refuerzo y encobrado Dovela sobre Estribo y se funde. Se tensionan los cables.</t>
    </r>
    <r>
      <rPr>
        <sz val="11"/>
        <color rgb="FFFF0000"/>
        <rFont val="Arial"/>
        <family val="2"/>
      </rPr>
      <t xml:space="preserve"> I</t>
    </r>
    <r>
      <rPr>
        <sz val="11"/>
        <rFont val="Arial"/>
        <family val="2"/>
      </rPr>
      <t xml:space="preserve">nstalación acero de refuerzo muro espaldar y ménsula superior Estribo y alets y se funden. Instalación acero de refuerzo losa de aproximación. y se funde.
</t>
    </r>
    <r>
      <rPr>
        <u/>
        <sz val="11"/>
        <rFont val="Arial"/>
        <family val="2"/>
      </rPr>
      <t xml:space="preserve">SUPERESTRUCTURA
</t>
    </r>
    <r>
      <rPr>
        <sz val="11"/>
        <rFont val="Arial"/>
        <family val="2"/>
      </rPr>
      <t xml:space="preserve">PILA 1:  Instalación acero de refuerzo y encofrado Dovela sobre Pila y Dovelas N°1 y se funden. Montaje de carros de avance para construcción de Voladizos 1 y 2. Instalación acero de refuerzo Dovelas N°2 , 3 , 4,  5, 6 ,7, 8 y 9 y se funden, se tensionan cables. </t>
    </r>
    <r>
      <rPr>
        <u/>
        <sz val="11"/>
        <rFont val="Arial"/>
        <family val="2"/>
      </rPr>
      <t xml:space="preserve">
</t>
    </r>
    <r>
      <rPr>
        <sz val="11"/>
        <rFont val="Arial"/>
        <family val="2"/>
      </rPr>
      <t>PILA 2: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en voladizos 3 y 4. Desistalación carros de avance.
Instalación acero de refuerzo y encofrado y se funden defensas tipo New Jersey, costado izquierdo y derecho. Se realizan acabados.</t>
    </r>
  </si>
  <si>
    <r>
      <rPr>
        <b/>
        <sz val="11"/>
        <color theme="1"/>
        <rFont val="Arial"/>
        <family val="2"/>
      </rPr>
      <t xml:space="preserve">
PUENTE PK33+100 UF2.1 VIADUCTO SOBRE EL RÍO CAUCA TRAMO 2 VIGAS. 
</t>
    </r>
    <r>
      <rPr>
        <sz val="11"/>
        <color theme="1"/>
        <rFont val="Arial"/>
        <family val="2"/>
      </rPr>
      <t xml:space="preserve">
T</t>
    </r>
    <r>
      <rPr>
        <u/>
        <sz val="11"/>
        <color theme="1"/>
        <rFont val="Arial"/>
        <family val="2"/>
      </rPr>
      <t>RAMO 2.  INFRAESTRUCTURA TERMINADA</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
</t>
    </r>
    <r>
      <rPr>
        <u/>
        <sz val="11"/>
        <color theme="1"/>
        <rFont val="Arial"/>
        <family val="2"/>
      </rPr>
      <t xml:space="preserve">TRAMO 2. SUPERESTRUCTURA
</t>
    </r>
    <r>
      <rPr>
        <sz val="11"/>
        <color rgb="FFFF0000"/>
        <rFont val="Arial"/>
        <family val="2"/>
      </rPr>
      <t>Vano 1: Instalación de cuatro Vigas prefabricadas sobre apoyos de neopreno. Construcción de diafragma e instalación de pre-losas Tipo A y B. Se instala acero de refuerzo losa y se funde.</t>
    </r>
    <r>
      <rPr>
        <u/>
        <sz val="11"/>
        <color theme="1"/>
        <rFont val="Arial"/>
        <family val="2"/>
      </rPr>
      <t xml:space="preserve">
</t>
    </r>
    <r>
      <rPr>
        <sz val="11"/>
        <color rgb="FFFF0000"/>
        <rFont val="Arial"/>
        <family val="2"/>
      </rPr>
      <t xml:space="preserve">Vano 2: Instalación de cuatro Vigas prefabricadas sobre apoyos de neopreno. Construcción de diafragma e instalación de pre-losas Tipo A y B. Se instala acero de refuerzo de la losa y se funde..
Vano 3: Instalación de cuatro Vigas prefabricadas sobre apoyos de neopreno. Construcción de diafragma e instalación de pre-losas Tipo A y B, se instala acero de refuerzo de la losa y se funde.
</t>
    </r>
  </si>
  <si>
    <t>Ampliación Puente 25  El Sable UF2.1</t>
  </si>
  <si>
    <t>Intereses Aporte 41</t>
  </si>
  <si>
    <t>C303700071-8477-2315</t>
  </si>
  <si>
    <t>Cumplió aporte del mes de Diciembre 2020</t>
  </si>
  <si>
    <t>nov-20</t>
  </si>
  <si>
    <t>Aporte de Diembre 31 -2020</t>
  </si>
  <si>
    <t>Giro 42</t>
  </si>
  <si>
    <t>C303700071-8477-2316</t>
  </si>
  <si>
    <t>Cumplio con aporte de noviembre 2020 de forma retrasada, ver intereses aporte 41</t>
  </si>
  <si>
    <t>Aporte de Noviembre 30 -2020</t>
  </si>
  <si>
    <t>Giro 41</t>
  </si>
  <si>
    <t>a) Inactivo. Obras relacionadas con la ODT # 099. Se realizo la construcción del box culvert que aportara las aguas recogidas directamente al Rio Aurrá, sin atravesar la calzada derecha. Se trabaja en el armado del refuerzo y fundida de los encole / descole. La etapa siguiente fue la adecuación de filtros y los llenos con material seleccionado. El concreto utilizado es premezclado y de 28 MPa. Se extendió la capa asfáltica en caliente tipo MSC-25. El transito automotor circula por la calzada derecha.
b) Inactivo. Hacia el PK menor / mayor, ya se cuenta con capa asfáltica en caliente tipo MSC-25 y se inicia corte de la capa asfáltica para la construcción de cuentas en concreto con sección en L. También se intervino el talud del PK 22+100 al que se le colocaron pernos pasivos faltantes y se utilizo un equipo perforador autopropulsado sobre orugas. Sector Meloneras / Talud rehabilitado</t>
  </si>
  <si>
    <t xml:space="preserve">a) Inactivo. Se realizo actividad de instalación de malla electrosoldada (15x15x6) + aplicación de concreto lanzado (por vía seca) y marcación de pernos pasivos de anclaje (de L= 12m.). Se utilizaron pernos corrugados # 10 roscados y confinados con lechadas de cemento. También se instalaron filas de drenes sub horizontales en PVC. Se fundieron dados de apoyo (1x1 m) en concreto reforzado a cada uno de los pernos pasivos colocados. 
b) Inactivo. La plataforma vial en este sitio ya cuenta con su capa asfáltica en caliente, tipo MSC-25. Mediante cortes con disco diamantado se construyen cunetas triangulares en concreto de 21 MPa por el sistema de ajedrezado. El sitio se encuentra con señalización (H / V) debido a la canalización del transito que entra y sale del municipio de Sopetrán. </t>
  </si>
  <si>
    <t xml:space="preserve">El material de fresado es llevado (mediante acarreo) al sector de Ahuyamal, sobre tramo vial antiguo PK 25+800. También se esta utilizando el fresado para combinarlo y utilizarlo con los granulares de sub base (se mezcla en proporción 4:1). </t>
  </si>
  <si>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rFont val="Arial"/>
        <family val="2"/>
      </rPr>
      <t>INFRAESTRUCTURA TERMINADA</t>
    </r>
    <r>
      <rPr>
        <u/>
        <sz val="11"/>
        <color theme="1"/>
        <rFont val="Arial"/>
        <family val="2"/>
      </rPr>
      <t xml:space="preserve">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r>
      <rPr>
        <sz val="11"/>
        <color rgb="FFFF0000"/>
        <rFont val="Arial"/>
        <family val="2"/>
      </rPr>
      <t xml:space="preserve"> </t>
    </r>
    <r>
      <rPr>
        <sz val="11"/>
        <rFont val="Arial"/>
        <family val="2"/>
      </rPr>
      <t xml:space="preserve">Seconstruye losa de aproximación.
</t>
    </r>
    <r>
      <rPr>
        <u/>
        <sz val="11"/>
        <rFont val="Arial"/>
        <family val="2"/>
      </rPr>
      <t xml:space="preserve">SUPERESTRUCTURA
</t>
    </r>
    <r>
      <rPr>
        <sz val="11"/>
        <rFont val="Arial"/>
        <family val="2"/>
      </rPr>
      <t>Instalación de mortero de nivelación con Sika Grout sobre pedestales. Montaje del Equipo lanza-vigas.</t>
    </r>
    <r>
      <rPr>
        <sz val="11"/>
        <color rgb="FFFF0000"/>
        <rFont val="Arial"/>
        <family val="2"/>
      </rPr>
      <t xml:space="preserve">
VANOS 1 y 2: Instalación de Vigas prefabricadas sobre apoyos de neopreno, construcción de Diafragmas, instalación de pre-losas, acero de refuerzo de las losas  y se funden. Se instala acero de refuerzo y encofrado New Jersey por ambos costados y se funden módulos. Se realizan acabados. Frente Inactivo.</t>
    </r>
  </si>
  <si>
    <t>Puente PK 33+100 UF 2.1 TRAMO2 - VIGAS- Vista panorámica construcción Puente. Inactivo</t>
  </si>
  <si>
    <t>Inactivo. Se realizo la penúltima conexión entre ODT´s tipo Box. Al tramo del box reconstruido se le construyeron sus drenajes laterales previa impermeabizacion de sus paredes (o de los paramentos enterrados) y la colocación de paneles de geodren planar (o lamidren). En su parte intermedia se termino la construcción del buzón en su zona media y queda pendiente el extendido y colocación de llenos y material seleccionado (sub base + base granular) hasta encontrar el nivel de subrasante. La zona sigue señalizada y protegida con conos maletines.</t>
  </si>
  <si>
    <t>Puente PK 33+100 UF 2.1 TRAMO2 - VIGAS-  Tablero, Lado Santa Fe. Inactivo.</t>
  </si>
  <si>
    <t>Aportes intereses fondeo 41</t>
  </si>
  <si>
    <t>Traslado de Predios 2 a predios1</t>
  </si>
  <si>
    <t>Ajuste solicitado por Concesión Desarrollo Vial al Mar S.A.S.</t>
  </si>
  <si>
    <t>Aportes en especie</t>
  </si>
  <si>
    <t>Aporte en Especie</t>
  </si>
  <si>
    <t>Aportes Deuda Subordinada</t>
  </si>
  <si>
    <t>Construcción de muro en TA o # 011 + Viga de realce.</t>
  </si>
  <si>
    <t>Consolidación del talud de corte y Trabajos en la Bahía o zona de servicio (Ahuyamal). CI</t>
  </si>
  <si>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 TERMINADA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 
</t>
    </r>
    <r>
      <rPr>
        <u/>
        <sz val="11"/>
        <color theme="1"/>
        <rFont val="Arial"/>
        <family val="2"/>
      </rPr>
      <t xml:space="preserve">SUPERESTRUCTURA
</t>
    </r>
    <r>
      <rPr>
        <sz val="11"/>
        <rFont val="Arial"/>
        <family val="2"/>
      </rPr>
      <t>Montaje de lanza-vigas en el vano 1. Se instalan Vigas prefabricadas sobre apoyos de neopreno, construcción de diafragmas, instalación de pre-losas, acero de refuerzo de las losas y se funden en los vanos 1 , 2 y 3</t>
    </r>
    <r>
      <rPr>
        <sz val="11"/>
        <color rgb="FFFF0000"/>
        <rFont val="Arial"/>
        <family val="2"/>
      </rPr>
      <t xml:space="preserve">. </t>
    </r>
    <r>
      <rPr>
        <sz val="11"/>
        <rFont val="Arial"/>
        <family val="2"/>
      </rPr>
      <t>Instalación de plataforma y acero de refuerzo para construcción de voladizos en vanos 1, 2 y 3. Se funden los voladizos por ambos costados en estos vanos.</t>
    </r>
    <r>
      <rPr>
        <sz val="11"/>
        <color rgb="FFFF0000"/>
        <rFont val="Arial"/>
        <family val="2"/>
      </rPr>
      <t xml:space="preserve"> </t>
    </r>
    <r>
      <rPr>
        <sz val="11"/>
        <rFont val="Arial"/>
        <family val="2"/>
      </rPr>
      <t>Instalación acero de refuerzo y encofrado y se funden defensas tipo New Jersey ambos costados. Se realizan acabados.</t>
    </r>
    <r>
      <rPr>
        <sz val="11"/>
        <color rgb="FFFF0000"/>
        <rFont val="Arial"/>
        <family val="2"/>
      </rPr>
      <t xml:space="preserve"> Falta instalar juntas de dilatación.</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</si>
  <si>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TERMINADA
</t>
    </r>
    <r>
      <rPr>
        <sz val="11"/>
        <rFont val="Arial"/>
        <family val="2"/>
      </rPr>
      <t>ESTRIBO 1: Instalación acero de refuerzo núcleos Caissons 1 y 2 y se funden. Instalación de solado</t>
    </r>
    <r>
      <rPr>
        <sz val="11"/>
        <color rgb="FFFF0000"/>
        <rFont val="Arial"/>
        <family val="2"/>
      </rPr>
      <t>.</t>
    </r>
    <r>
      <rPr>
        <sz val="11"/>
        <rFont val="Arial"/>
        <family val="2"/>
      </rPr>
      <t xml:space="preserve"> Instalación acero de refuerzo y encofrado Viga Cabezal y cuerpo del estribo y se funde Viga Cabezal y tramo 2 cuerpo del Estribo. Instalación acero de refuerzo y encofrado aletas integradas y se funden. Se funde losa de aproximación Estribo 1.</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r>
      <rPr>
        <sz val="11"/>
        <color rgb="FFFF0000"/>
        <rFont val="Arial"/>
        <family val="2"/>
      </rPr>
      <t xml:space="preserve"> </t>
    </r>
    <r>
      <rPr>
        <sz val="11"/>
        <rFont val="Arial"/>
        <family val="2"/>
      </rPr>
      <t>Adecuación de área para construcción de Estribo. Se instala solado.</t>
    </r>
    <r>
      <rPr>
        <sz val="11"/>
        <color rgb="FFFF0000"/>
        <rFont val="Arial"/>
        <family val="2"/>
      </rPr>
      <t xml:space="preserve"> </t>
    </r>
    <r>
      <rPr>
        <sz val="11"/>
        <rFont val="Arial"/>
        <family val="2"/>
      </rPr>
      <t xml:space="preserve">Instalación acero de refuerzo Viga Cabezal y se funde. Instalación acero de refuerzo y encofrado cuerpo del Estribo, pedestales y topes sísmicos. y se funde. Instalación acero de refuerzo, encofrado y fundida de muro aleta costado izquierdo. Se funde losa de aproximación Estribo 2. </t>
    </r>
    <r>
      <rPr>
        <sz val="11"/>
        <color rgb="FFFF0000"/>
        <rFont val="Arial"/>
        <family val="2"/>
      </rPr>
      <t>Frente Inactivo. Infraestructura terminada.</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</si>
  <si>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TERMINADA.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sz val="11"/>
        <rFont val="Arial"/>
        <family val="2"/>
      </rPr>
      <t xml:space="preserve"> Instalación acero de refuerzo losa de aproximación Estribo 1 y se funde.</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rFont val="Arial"/>
        <family val="2"/>
      </rPr>
      <t>Instalación andamios de carga,  plataforma  y acero de refuerzo para Viga Cabezal y se funde con topes sísmicos y pedestales.</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rFont val="Arial"/>
        <family val="2"/>
      </rPr>
      <t>.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t>
    </r>
    <r>
      <rPr>
        <sz val="11"/>
        <rFont val="Arial"/>
        <family val="2"/>
      </rPr>
      <t>Instalación acero de refuerzo losa de aproximación y se funde.
Instalación de mortero de nivelación con Sika-Grout sobre pedestales..</t>
    </r>
    <r>
      <rPr>
        <sz val="11"/>
        <color rgb="FFFF0000"/>
        <rFont val="Arial"/>
        <family val="2"/>
      </rPr>
      <t xml:space="preserve">
</t>
    </r>
    <r>
      <rPr>
        <u/>
        <sz val="11"/>
        <rFont val="Arial"/>
        <family val="2"/>
      </rPr>
      <t xml:space="preserve">SUPERESRUCTURA
</t>
    </r>
    <r>
      <rPr>
        <sz val="11"/>
        <rFont val="Arial"/>
        <family val="2"/>
      </rPr>
      <t xml:space="preserve">Vanos 1, 2, 3 , 4 y 5: Instalación de Vigas prefabricadas sobre apoyos de neopreno, instalación de pre-losas, acero de refuerzo de la losa y diafragmas y se funden. En el vano 6, se instalan vigas prefabricadas sobre apoyos de neopreno, se construye diafragma ,se instalan pre-losas Tipo B y se funde losa. Instalación plataforma y acero de refuerzo voladizos costado derecho e izquierdo vanos 1 , 2 , 3, 4 y 5 y se funden. Instalación acero de refuerzo y encofrado New Jersey  módulos costado derecho e izquierdo y se funden en vanos 1, 2, 3, 4 y 5.Se realizan acabados. Se instalan neoprenos en topes sísmicos. </t>
    </r>
    <r>
      <rPr>
        <sz val="11"/>
        <color rgb="FFFF0000"/>
        <rFont val="Arial"/>
        <family val="2"/>
      </rPr>
      <t xml:space="preserve">Falta instalar las juntas de dilatación.
</t>
    </r>
    <r>
      <rPr>
        <sz val="11"/>
        <color theme="1"/>
        <rFont val="Arial"/>
        <family val="2"/>
      </rPr>
      <t xml:space="preserve">
El avance en excavación y construcción de anillos es del 110,2%</t>
    </r>
    <r>
      <rPr>
        <u/>
        <sz val="9"/>
        <color theme="1"/>
        <rFont val="Calibri"/>
        <family val="2"/>
        <scheme val="minor"/>
      </rPr>
      <t/>
    </r>
  </si>
  <si>
    <t>NOV/2020</t>
  </si>
  <si>
    <t>Aporte 2020</t>
  </si>
  <si>
    <t xml:space="preserve">Seguimiento oficina fija de atención al usuario </t>
  </si>
  <si>
    <t>Seguimiento PQRS del proyecto.</t>
  </si>
  <si>
    <t xml:space="preserve">Programa 4. Información y participación comunitaria </t>
  </si>
  <si>
    <t>Lugar: Santa fe de Antioquia, seguimiento oficina fija de atención al usuario.</t>
  </si>
  <si>
    <t>Lugar: Santa fe de Antioquia, Seguimiento PQRS del proyecto.</t>
  </si>
  <si>
    <t>FOTO 14</t>
  </si>
  <si>
    <t>TODAS</t>
  </si>
  <si>
    <t>REVISIÓN Y ANALISIS DE INSUMOS PREDIALES</t>
  </si>
  <si>
    <t>Estudio de Fichas Prediales y Avaluos Comerciales Corporativos de las Unidades Funcionales 1 y 2</t>
  </si>
  <si>
    <t>REVISIÓN DE LA PLATAFORMA OLYMPUS</t>
  </si>
  <si>
    <t>Se realizó verificación, observación y aprobación de cada uno de los datos que se ingresaron a la plataforma Olympus por parte del Concesionario.</t>
  </si>
  <si>
    <t>PK 5+040</t>
  </si>
  <si>
    <t xml:space="preserve">PK 5+600 </t>
  </si>
  <si>
    <t>a) Inactivo. Sobre la obra y tramos anexos, se conformo el paquete estructural del pavimento flexible. Colocados y compactados los granulares se procedió a la imprimación utilizando emulsión asfáltica de curado lento. Posteriormente se coloco la capa intermedia de mezcla asfáltica, utilizando el tren de pavimentación Dynapac. Hubo construcción de vía veredal. El tramo cuenta con la demarcación horizontal y se habilito para el transito vehicular. También se instalaron defensas metálicas tipo bionda. 
b) Inactivo. Sobre la calzada opuesta (o PK 14+800 CI) se termino la fase de consolidación y protección del talud (a una pendiente) se coloco malla electrosoldada con perforación para pernos y drenes en PVC. También hubo aplicación de concreto lanzado. Ahora se construyen subdrenaje laterales (geotextil NT + piedra filtro + tubo ranurado) y cunetas laterales en con sección en L utilizando concreto premezclado de 21 MPa. Sobre esta calzada hay todavía estacionados equipos de construcción y acopio de materiales. Hay trabajos topográficos.  El transito automotor circula por la calzada opuesta y se libera la calzada existente. Sector La Bloquera.</t>
  </si>
  <si>
    <t>Inactivo. La plataforma de la segunda calzada ya cuenta con la capa intermedia asfáltica tipo MSC-25. Se continuara la construcción de una bajante escalonada que recoge y conduce aguas de cunetas lineales de la nueva calzada (se utiliza concreto pre mezclado colocado por gravedad). Personal instalo defensas metálicas tipo bionda. También se colocaron sardineles prefabricados tope llantas. Se seguirán construyendo cunetas (con sección triangular o en L con concreto de 21 MPa) y filtros. Para esto se hace uso de pajarita CAT 416F y herramienta menor.</t>
  </si>
  <si>
    <t>a) Inactivo. Trabajos concluidos en cortes mecánicos y de llenos para prolongación de tramo vial; cerca al PR 14. El tramo ya cuenta con la capa intermedia de mezcla asfáltica tipo MSC-25. Hubo instalación de defensas metálicas tipo bionda y colocación de bordillos tope llantas prefabricados. Hay trabajos "intermitentes" de excavación manual y mecánica para el tendido de redes ITS. Sigue pendiente un traslado de redes secas. 
b) Inactivo. Un tramo ya cuenta con capa intermedia asfáltica, tipo MSC-25, cubriéndose la ODT intervenida. Hubo instalación de defensas metálicas tipo bionda. Hacia el PK mayor se construyeron cunetas en concreto con sección triangular, cunetas de corona y filtros perimetrales. También hubo colocación de bordillos tope llantas prefabricados. Hay personal instalando redes ITS. Sigue pendiente un traslado de redes secas. Sector cercano al PR 14.</t>
  </si>
  <si>
    <t>PK 29+900</t>
  </si>
  <si>
    <t>PK 33+000 CI</t>
  </si>
  <si>
    <t>Glorieta de San Nicolás - Drenajes - Ramales</t>
  </si>
  <si>
    <t>Sobre la pata del talud rehabilitado, se hace el acopio 'provisional' del material de rezaga que se extrae de las galerías (peatonales / vehiculares), portal Medellín; para después transportarlo a la planta de trituración ubicada en el PK 11+700 o en el PK 1+200 o directamente ser llevado a los sitios donde se requiera un saneo de una plataforma vial. Se utiliza cargador articulado CAT 950, bulldozer D6T, un Bobcat y algunas volquetas que lo extraen del túnel. El material es amontonado formando una gran montaña. Se adecuo una sección de la vía para el paso vehicular y poder ocupar la calzada izquierda. En el acopio se trabaja con personal PARE/SIGA y se realiza limpieza con herramienta menor y barridos con cepillo rotativo montado en Bobcat.</t>
  </si>
  <si>
    <t>UF 4 Ruta 6003 - 44+400 Control Policía de Carreteras.</t>
  </si>
  <si>
    <t>C303700071-8477-2317</t>
  </si>
  <si>
    <t>Cumplió aporte del mes de Enero 2021</t>
  </si>
  <si>
    <t>Dic-20</t>
  </si>
  <si>
    <t>Aporte de Enero -2021</t>
  </si>
  <si>
    <t>Giro 43</t>
  </si>
  <si>
    <t>Inactivo. Después de realizada la imprimación de granulares, se coloco la capa intermedia asfáltica tipo MSC-25. Se utilizaron los equipos Dynapac para colocar la capa asfáltica, junto con el equipo termo calentador y aplicador de la emulsión asfáltica. El área se tiene disponible para el acopio de materiales de construcción de puentes y estacionamiento de equipos.</t>
  </si>
  <si>
    <t xml:space="preserve">PK 11+800 </t>
  </si>
  <si>
    <t>PK 15+800 CD</t>
  </si>
  <si>
    <t xml:space="preserve">PK 16+000 </t>
  </si>
  <si>
    <t>Mejoramiento de la calzada existente.</t>
  </si>
  <si>
    <t xml:space="preserve">PK 19+200  </t>
  </si>
  <si>
    <t>Corte y perfilado de talud, CD</t>
  </si>
  <si>
    <t xml:space="preserve">PK 18+200  </t>
  </si>
  <si>
    <t>Corte, perfilado de talud + demoliciones + drenajes + Lanzavigas, CI</t>
  </si>
  <si>
    <t xml:space="preserve">PK 18+400  </t>
  </si>
  <si>
    <t xml:space="preserve">Excavaciones mecánicas CI, como intersección o enlace en superficie - Boxculvert # 209 y ODTs - Zona urbana de San Jerónimo, CI </t>
  </si>
  <si>
    <t>PK 20+150</t>
  </si>
  <si>
    <t xml:space="preserve">PK 20+270  </t>
  </si>
  <si>
    <t xml:space="preserve">PK  19+400 </t>
  </si>
  <si>
    <t>PK 19+600</t>
  </si>
  <si>
    <t>Mejoramiento de calzada, CI</t>
  </si>
  <si>
    <t xml:space="preserve">PK 21+700 </t>
  </si>
  <si>
    <t>Excavación mecánica de montaña rocosa, CD  + Muro rígido</t>
  </si>
  <si>
    <t xml:space="preserve">PK 21+150 </t>
  </si>
  <si>
    <t xml:space="preserve">Capa asfáltica - Demarcación horizontal, CI </t>
  </si>
  <si>
    <t xml:space="preserve">PK 22+232 </t>
  </si>
  <si>
    <t>Box culvert # 099, CI</t>
  </si>
  <si>
    <t xml:space="preserve">PK 22+430/480 </t>
  </si>
  <si>
    <t xml:space="preserve">Talud rehabilitado, CI </t>
  </si>
  <si>
    <t xml:space="preserve">PK 25+050 </t>
  </si>
  <si>
    <t>Lleno y compactación 
Sector Villa del Marques / Sindelhato, CD</t>
  </si>
  <si>
    <t xml:space="preserve">PK 25+600 </t>
  </si>
  <si>
    <t>Cortes y excavaciones mecánicas + descapotes. Alargue de Box # 119 y dos ODTs # 117 y 118, CD</t>
  </si>
  <si>
    <t xml:space="preserve">PK 27+800 </t>
  </si>
  <si>
    <t>PK 28+800</t>
  </si>
  <si>
    <t>Colocación de capa asfáltica MSC-25 + Construcción canal perimetral, CD</t>
  </si>
  <si>
    <t>PK 29+400</t>
  </si>
  <si>
    <t xml:space="preserve">Construcción canaleta perimetral, CD </t>
  </si>
  <si>
    <t xml:space="preserve">Construcción del acceso vehicular (con un falso túnel) a la Vda,. Guaimaral, CD </t>
  </si>
  <si>
    <t xml:space="preserve">PK 29+900 </t>
  </si>
  <si>
    <t>PK 30+000</t>
  </si>
  <si>
    <t>Excavación mecánica, cortes y descapotes, CD</t>
  </si>
  <si>
    <t xml:space="preserve">PK 30+500 </t>
  </si>
  <si>
    <t xml:space="preserve">Reforzamiento de talud - CI </t>
  </si>
  <si>
    <t xml:space="preserve">PK 30+600 </t>
  </si>
  <si>
    <t xml:space="preserve">PK 31+200 </t>
  </si>
  <si>
    <t>Consolidación de talud + drenajes, CD</t>
  </si>
  <si>
    <t>Socavación causada por brazo del Rio Cauca y nuevo trazo del  corredor vial (para una de las calzadas).</t>
  </si>
  <si>
    <t xml:space="preserve">Sectores puntuales del puente, presentan el tablero desgastado con presencia a la vista de su acero de refuerzo y con agregados sueltos. Siguen baches tapados con laminas de acero. La junta transversal de dilatación principal (lado Santafé) esta siendo afectada por el desconfinamiento del concreto el cual muestra bastantes desprendimientos de bloques con la exposición del acero de refuerzo. </t>
  </si>
  <si>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TERMINADA
</t>
    </r>
    <r>
      <rPr>
        <sz val="11"/>
        <color theme="1"/>
        <rFont val="Arial"/>
        <family val="2"/>
      </rPr>
      <t xml:space="preserve"> ESTRIBO 1: Se funden núcleos de Caissons 1 y 2. </t>
    </r>
    <r>
      <rPr>
        <sz val="11"/>
        <rFont val="Arial"/>
        <family val="2"/>
      </rPr>
      <t>Se funde solado y se instala acero de refuerzo y encofrado Viga cabezal del Estribo y se funde. Se instala acero de refuerzo y encofrado  cuerpo del estribo y se funde. Instalación acero de refuerzo aletas integradas, topes sísmicos, pedestales y se funden. Estribo terminado</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r>
      <rPr>
        <sz val="11"/>
        <rFont val="Arial"/>
        <family val="2"/>
      </rPr>
      <t xml:space="preserve"> Instalación acero de refuerzo y encofrado de aletas integradas y se funden.</t>
    </r>
    <r>
      <rPr>
        <sz val="11"/>
        <color rgb="FFFF0000"/>
        <rFont val="Arial"/>
        <family val="2"/>
      </rPr>
      <t xml:space="preserve">
</t>
    </r>
    <r>
      <rPr>
        <u/>
        <sz val="11"/>
        <rFont val="Arial"/>
        <family val="2"/>
      </rPr>
      <t xml:space="preserve">SUPERESTRUCTURA
</t>
    </r>
    <r>
      <rPr>
        <sz val="11"/>
        <rFont val="Arial"/>
        <family val="2"/>
      </rPr>
      <t>Instalación  mortero de nivelación con Sika Grout sobre pedestales. Montaje del Equipo lanza-vigas.</t>
    </r>
    <r>
      <rPr>
        <sz val="11"/>
        <color rgb="FFFF0000"/>
        <rFont val="Arial"/>
        <family val="2"/>
      </rPr>
      <t xml:space="preserve">
</t>
    </r>
    <r>
      <rPr>
        <sz val="11"/>
        <rFont val="Arial"/>
        <family val="2"/>
      </rPr>
      <t>Vanos 1, 2,  3 y 4: Instalación de Vigas prefabricadas sobre apoyos de neopreno, construcción de Diafragmas, instalación de pre-losas, acero de refuerzo de la losa y se funden.</t>
    </r>
    <r>
      <rPr>
        <sz val="11"/>
        <color rgb="FFFF0000"/>
        <rFont val="Arial"/>
        <family val="2"/>
      </rPr>
      <t xml:space="preserve">
</t>
    </r>
    <r>
      <rPr>
        <sz val="11"/>
        <rFont val="Arial"/>
        <family val="2"/>
      </rPr>
      <t xml:space="preserve">Instalación plataforma , acero de refuerzo para voladizos vanos 2, 3 y 4 costado izquierdo y derecho y se funden.. Instalación acero de refuerzo y encofrado New Jersy vanos 1, 2, 3 y 4 costado izquierdo y se funden. Instalación acero de refuerzo y encofrado New Jersey  costado derecho e izquierdo y se funden. </t>
    </r>
    <r>
      <rPr>
        <sz val="11"/>
        <color rgb="FFFF0000"/>
        <rFont val="Arial"/>
        <family val="2"/>
      </rPr>
      <t>Falta instalar juntas de dilatación.</t>
    </r>
  </si>
  <si>
    <t xml:space="preserve">Desde la planta de concretos hacia mayores, ya cuenta con la capa asfáltica en caliente tipo MSC-25.  Pero el transito (vehicular / particular) y exclusivo hacia el corregimiento de Palmitas, se controla por esta vía en intervención. Hay construcción de cunetas en concreto, se utiliza disco diamantado. Todo el transito particular circula por la nueva calzada. </t>
  </si>
  <si>
    <t xml:space="preserve">Inactivo. Tramo señalizado con delineadores tubulares y maletines + señalización horizontal. Se maneja como una intersección provisional  para entrar / salir al Municipio de Ebéjico. Hacia PK mayor o K 6+150 se realizo marcación para dar inicio a la perforación de pernos corrugados # 10 de L= 6 m en 3x3 y lagrimales de L= 1 m en  malla 6x6 m. (será un método de aseguramiento y consolidación de morro rocoso fracturado).  </t>
  </si>
  <si>
    <t xml:space="preserve">a) Inactivo. Un largo tramo fue intervenido con fresados. Algunos tramos implico adición y cambio de granulares (en todo o parte del ancho de calzada). Se aplico la mezcla asfáltica en caliente tipo MSC-25. Mientras tanto, todo el tramo se sigue interviniendo con el desmantelamiento y la ampliación de los puentes vehiculares existentes.
La calzada nueva "opuesta o CI" desde la Qda. Saltos y Pisquines hasta la Rochela, se dio al servicio del transito vehicular previa demarcación + señalización y colocación de defensas metálicas.  
b) Inactivo. Cerca a La Rochela, se termino el fresado de la vía existente, común equipo SANY C8. Hubo fresado por franjas y bacheos aislados selectivos según la severidad de las grietas, la deformación o desintegración de la capa asfáltica existente. Allí hubo que subir la rasante por lo menos en 1.5 m., para igualarla en altura con la nueva vía y poder acceder con el mismo nivel a los nuevos puentes vehiculares de doble calzada - La Rochela. El material de RAP fue llevado a La Frisola. Sector limites municipales / Eutimio. </t>
  </si>
  <si>
    <t xml:space="preserve">a) Inactivo. Se conformo el paquete estructural y granular del pavimento flexible. Posteriormente se coloco la capa intermedia de mezcla asfáltica, utilizando el tren de pavimentación Dynapac. El tramo hacia PK mayor ya cuenta con la demarcación horizontal, y se habilita para el transito vehicular. 
b) Sobre la calzada opuesta (o PK 13+400 CI), se realizo la construcción de la ODT # 169 x 1500 mm. obra de drenaje que ya atravesó la calzada existente. Se le hizo el buzón intermedio. Conformado el paquete granular y estructural del pavimento flexible, se le realizo su imprimación y se coloco finalmente la capa asfáltica MSC-25. Hay excavaciones mecánicas y adecuación del piso (se usa rana para compactación) para la construcción de cunetas en concreto. Hubo excavación lateral donde se coloco tubería Novafort de 23" y 32" de diámetro. También hubo necesidad de ampliar la longitud de los cabezotes de las alcantarillas como la # 63 y 67, y se intervinieron las ODTs # 64, 65 y 66. Hay chequeos topográficos. Sector frente y diagonal a La Jungla (que cuando se termine) se unirá con su tramo inmediato y antecesor de Las Grutas. El transito automotor circula por la nueva calzada guiado por maletines y delineadores tubulares.  </t>
  </si>
  <si>
    <t xml:space="preserve">Se realizo actividad de instalación y extendido de material de fresado, sobre la vía de acceso al negocio de Las Grutas o PK 13+200 CI (o sobre la segunda terraza).
Sobre el PK 15+400 CD hubo instalación del fresado en vía acceso antigua bloquera, sector antes de llegar a Tamarindos. Hay acopio temporal y voluminoso en el PK 0+400 CI o sector de La Volcana y en la planta # 2 o PK 11+700. También se esta utilizando el fresado para combinarlo y utilizarlo con los granulares de sub base en tramos de mejoramiento vial y en el lleno de PK 11+800 "sobre la plataforma superior". (se mezcla en proporción 4:1).  </t>
  </si>
  <si>
    <t>El tramo cuenta con la capa intermedia de mezcla asfáltica tipo MSC-25. Se hizo la demarcación horizontal, utilizando pintura para trafico (B/A) a base de agua. También se instalaron defensas metálicas tipo bionda. Se habilito el tramo para el paso del transito automotor y poder libertar y entrar a rehabilitar la calzada existente.</t>
  </si>
  <si>
    <t>Calzada en mejoramiento: Fresado de carpeta asfáltica y/o demolición, drenajes + ODTs en tubería + Muro en HA # 042 + ODT # 216 y # 094</t>
  </si>
  <si>
    <t>a) Inactivo. Termino la protección del talud, previa colocación de pernos pasivos de anclaje (# 10 roscados con L= 6m + drenes en PVC de L= 3m). Se procedió a la colocación y aseguramiento de paneles de malla electrosoldada (15x15x6). Se aplico concreto lanzado con espesor de capa de e= 10 cm y de 21 MPa. Se fundieron dados de concreto y se colocaron las platinas y tuercas de aseguramiento en cada pernos. Hubo aplicación de pintura anti corrosiva.
b) Trabajos intermitentes. Bulldozer CAT D6T, realizo descapote y retiro de raíces sobre la Bahía del Ahuyamal. Hubo corte, acarreo de material de desecho, con maleza y rastrojo (que es llevado para emplearlo en trabajos de paisajismo en las partidas de Sopetrán); y también hay aporte + extendido de material para llenos. Hay vibro Hamm compactando los granulares extendidos a fin de hacer un saneo a la fundación, con material traído de Meloneras o PK 21+700. Hay gran acopio de material de rezaga traído del túnel.
La zona de la calzada antigua, se tiene como centro de acopio de material fresado o RAP. Sector El Ahuyamal.</t>
  </si>
  <si>
    <t>Inactivo. Actividad de consolidación con pernos pasivos de anclaje # 10 y con L= 9 m. Se coloca sobre la cara expuesta del talud, paneles de malla electrosoldada de acero (15x15x6) + lagrimales en PVC. También se fundieron dados de apoyo (en concreto 20 x 20 cm) de las platinas y tuercas en cada uno de los anclajes. En los trabajos se trabaja con personal suspendido. Sector Tierra Mítica.</t>
  </si>
  <si>
    <r>
      <rPr>
        <b/>
        <sz val="11"/>
        <color theme="1"/>
        <rFont val="Arial"/>
        <family val="2"/>
      </rPr>
      <t>AMPLIACIÓN PUENTE N°1 QUEBRADA LA NEGRA . PK0+110 UF1.</t>
    </r>
    <r>
      <rPr>
        <sz val="11"/>
        <color theme="1"/>
        <rFont val="Arial"/>
        <family val="2"/>
      </rPr>
      <t xml:space="preserve">  El concesionario inicia actividades el 21 de julio de 2020.  Este Puente está conformado por 4 luces en Vigas postensadas para una luz total de 105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para retiro del tablero y los New Jersey existentente. En el vano entre ejes 4 y 5  se retiran las Vigas existentes para remplazarlas . Estas vigas se encuentran reparadas con fibra de carbono y con deformaciones permanentes, producto de un desplazamiento que sufrió el  Estribo eje 5 y fué intervenido por Inteisa S.A. En el Estribo eje 5  se remplazarán elementos como la Viga cabezal, pantalla y talón que se apoyará sobre  pilas existentes construidas po Inteisa en el año 2013</t>
    </r>
    <r>
      <rPr>
        <sz val="11"/>
        <color rgb="FFFF0000"/>
        <rFont val="Arial"/>
        <family val="2"/>
      </rPr>
      <t xml:space="preserve">. </t>
    </r>
    <r>
      <rPr>
        <sz val="11"/>
        <rFont val="Arial"/>
        <family val="2"/>
      </rPr>
      <t>Se realiza la demolición del Estribo y el retiro de las vigas existentes. Se realizan cortes de tablero vanos 2 y  3,  se retira tablero y New Jersey existenrtes. Se instala plataforma para construcción de voladizos, Stell Deck para losa y acero de refuerzo vano 3 y se funde.. Instalación acero de refuerzo y encofrado Viga Cabezal, cuerpo del Estribo, topes si´smicos y pedestales en el Estribo 2 y se funde sobre pilas existentes. Se instalan cuatro (4) vigas prefabricadas postensadas sobre apoyos de neopreno en el Vano 4, se construyen Diafragmas, se instala metal deck,  plataforma para voladizo, acero de refuerzo de la losa  y se funde  Vano 4. Para el Vano 1, se realiza corte y retiro de la losa existente, instalación de plataforma para voladizos, Steel Deck y acero de refuerzo de la losa y se funde. En el Vano 2 se realizan cortes para retiro del tablero, se retira tablero y New Jersey. Se instala plataforma para voladizos, metal deck, acero de refuerzo de la losa y se funde</t>
    </r>
    <r>
      <rPr>
        <sz val="11"/>
        <color rgb="FFFF0000"/>
        <rFont val="Arial"/>
        <family val="2"/>
      </rPr>
      <t xml:space="preserve">. </t>
    </r>
    <r>
      <rPr>
        <sz val="11"/>
        <rFont val="Arial"/>
        <family val="2"/>
      </rPr>
      <t>Perforaciones e instalación de platinas 5/8", pernnos, parales IPE-220, tubo D=4" baranda vehicular ambos costados. Aplicación de base anticorrociva y pintura epóxica en baranda costado izquierdo y derecho. Se realizan perforaciones e instalación de platinas y desviadores para reforzamiento de Vigas  en Vano 1  Vigas 1 y 4,  Vano 2  Viga 8, Vano 3 Viga 12. Se instalan cables y se tensionan.
Se instala carpeta asfáltica de rodadura. Ampliación terminada.</t>
    </r>
  </si>
  <si>
    <r>
      <rPr>
        <b/>
        <sz val="11"/>
        <color theme="1"/>
        <rFont val="Arial"/>
        <family val="2"/>
      </rPr>
      <t>AMPLIACIÓN PUENTE N°11 QUEBRADA LA RONCHA . PK8+790 UF1.</t>
    </r>
    <r>
      <rPr>
        <sz val="11"/>
        <color theme="1"/>
        <rFont val="Arial"/>
        <family val="2"/>
      </rPr>
      <t xml:space="preserve"> </t>
    </r>
    <r>
      <rPr>
        <sz val="11"/>
        <color rgb="FF00B0F0"/>
        <rFont val="Arial"/>
        <family val="2"/>
      </rPr>
      <t xml:space="preserve"> </t>
    </r>
    <r>
      <rPr>
        <sz val="11"/>
        <rFont val="Arial"/>
        <family val="2"/>
      </rPr>
      <t xml:space="preserve">El concesionario inicia actividades el 10 de septiembre de 2020. </t>
    </r>
    <r>
      <rPr>
        <sz val="11"/>
        <color theme="1"/>
        <rFont val="Arial"/>
        <family val="2"/>
      </rPr>
      <t xml:space="preserve"> Este Puente está conformado por 2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los vanos 1 y 2 . Se realiza demolición de tablero sobre Vigas. En los vanos 1 y 2 se instala metal deck, formaleta para voladizos, acero de refuerzo de la losas y se funden.</t>
    </r>
    <r>
      <rPr>
        <sz val="11"/>
        <color rgb="FFFF0000"/>
        <rFont val="Arial"/>
        <family val="2"/>
      </rPr>
      <t xml:space="preserve"> Inicia instalación de baranda metálica. Frente Inactivo.</t>
    </r>
  </si>
  <si>
    <t>Ampliación Puente 6  La Potrera UF1</t>
  </si>
  <si>
    <t>De acuerdo con el programa de trabajo presentado por el concesionario para la UF3.1.D, el concesionario continuó actividades de instalación del revestimiento (con observaciones de calidad oficio-EPS4G-00087-20) y continuó con la construcción drenajes D=400 mm, en túnel principal, Portal Santa Fe, sin atrasos evidentes.</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</si>
  <si>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t>
    </r>
  </si>
  <si>
    <t>El concesionario no realizó nnguna actividad en el Traslado de Redes Húmedas esta semana en la UF2.1</t>
  </si>
  <si>
    <t>Programa 2. Capacitación personal vinculado al proyecto.</t>
  </si>
  <si>
    <t>Capacitación a personal vinculado al proyecto.</t>
  </si>
  <si>
    <t>C303700071-8477-0083</t>
  </si>
  <si>
    <t>Giro 11 Semestral</t>
  </si>
  <si>
    <t>C303700071-8477-2319</t>
  </si>
  <si>
    <t>Enero-2021</t>
  </si>
  <si>
    <t>C303700071-8477-2318</t>
  </si>
  <si>
    <t>C303700071– 21- 00034</t>
  </si>
  <si>
    <t>Diciembr-2020</t>
  </si>
  <si>
    <r>
      <rPr>
        <b/>
        <sz val="11"/>
        <color theme="1"/>
        <rFont val="Arial"/>
        <family val="2"/>
      </rPr>
      <t xml:space="preserve">Licencia Ambiental </t>
    </r>
    <r>
      <rPr>
        <sz val="11"/>
        <color theme="1"/>
        <rFont val="Arial"/>
        <family val="2"/>
      </rPr>
      <t xml:space="preserve">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t>
    </r>
    <r>
      <rPr>
        <sz val="12"/>
        <rFont val="Arial"/>
        <family val="2"/>
      </rPr>
      <t/>
    </r>
  </si>
  <si>
    <t>Corte y fracturación de montaña rocosa - CI</t>
  </si>
  <si>
    <t>a) Corresponde a la planta de trituración (Kleemann) que estaba instalada en La Volcana. Este material se procesa se tritura y se acopia para obtener: piedra filtro, sub base granular, base granular, materiales selectos y clasificados y/o materiales estabilizados para llenos. Encontramos allí, trituradora, excavadoras, bulldozer D6T, cargador CAT articulado y volquetas.  
b) Inactivo. Terminada la conformación de la calzada incluyendo la imprimación de granulares y la colocación de la capa asfáltica se dio inicio a la conformación de la calzada en construcción y el acceso al puente PK 11+110 de asados Doña Rosa, el muro en TA o # 036 y el retorno #1. Se tiene La Lanzavigas (entrando por el estribo #2) y los espacios o áreas son ocupados(as) para el acopio de vigas pretensadas, los equipos de carga / transporte y por grandes grúas. Personal termina la construcción de cuentas en concreto con sección en L.</t>
  </si>
  <si>
    <t xml:space="preserve">Inactivo. La plataforma de la segunda calzada ya cuenta con la capa intermedia asfáltica tipo MSC-25, frente al conjunto residencial Palmeras 2 y diagonal a Palmeras 1. Se realizo la construcción de cunetas en L en concreto y de un disipador en concreto (para la ODT # 079 x 900 mm. acampanada) con dirección hacia la pata del talud del terraplén. El concreto utilizado es premezclado (21 MPa) colocado por gravedad mediante canales en PVC. Hacia el PK menor se instalaron defensas metálicas tipo bionda. Después de cortar un morro terreo, ubicado sobre el separador de calzadas, (con el fin de aumentar el radio de curvatura de la vía existente), se alarga la ODT, se le construye un buzón central y se hace un saneo de la plataforma vial. Se inician los llenos compactados con Hamm y la adición de granulares de SBG / BG, siguen pendientes trabajos de la estructura granular del pavimento.     
Este frente de obra es zona limite entre la UF-1.0 y UF-2.1 y se encuentra ubicado en la zona urbana de San Jerónimo. </t>
  </si>
  <si>
    <t xml:space="preserve">RAP (Recycling Aspalto Pavement) </t>
  </si>
  <si>
    <t xml:space="preserve">Acopio de material de rezaga, portal Santa Fe. </t>
  </si>
  <si>
    <t xml:space="preserve">Se sigue acopiando material de rezaga o descombro del nuevo túnel, del Portal Santa Fe. Este material se extrae (del nuevo túnel con vehículos dumper), para luego ser llevado a la planta de trituración del PK 11+700. Las cantidades disminuirán debido a que el túnel ya logro el cale. Sobre la plataforma se han colocado equipos, contenedores, llantas, campamento, materiales y herramienta pesada. También se ha destinado la plataforma como parqueo de maquinaria. Sobre un costado se encuentra la entrada / salida / vía de circulación (de vehículos y personal particular), para acceder a la Vda. La Frisola. Sobre el PK 0+050 CD, del tablero del puente en ampliación sobre la Qda. La Negra, se le instalo mezcla en caliente tipo MDC-10, sigue habilitado el transito automotor, en ambos sentidos sobre esta obra ampliada. </t>
  </si>
  <si>
    <t xml:space="preserve"> Protección de talud contra caídas de rocas + alargue de Box (# 085), CI / CD</t>
  </si>
  <si>
    <t>a) Se tienen 2 muros en TA (enfrentados) que contienen el terraplén de descenso (como relleno retenido) y un terraplén en ascenso con el muro # 057 o K 23+720 todavía sin terminar; una vez culminados los trabajos se direccionara el transito en sentido San Jerónimo - Santafé de Antioquia.  
Muro en TA PK 23+930 (# 058 con L= 121.5 m en CD), terminado. La rasante ya cuenta con capa asfáltica MSC-25 
Muro del PK 23+920 o muro TA ( # 059 con L= 103 m en CD), está terminado. La rasante ya cuenta con capa asfáltica MSC-25
b) Inactivo. El Marco del K 23+860 (# 040). La rasante ya cuenta con capa asfáltica MSC-25. Sobre este tramo largo personal instala sardineles prefabricados previo el corte de capa asfáltica con disco diamantado. 
El conjunto de todas estas obras, vienen a ser a futuro la solución para el transito vehicular "en altura" en el sentido San Jerónimo - Santafé de Antioquia y para el transito vehicular "en superficie" entre Santafé de Antioquia - Sopetrán. 
c) Para el transito vehicular en el sentido Sopetrán - Santafé, ya se tiene la calzada (o enlace K 0+140 a K0+330) exclusiva en este sentido de circulación con su capa asfáltica intermedia tipo MSC-25, con un ancho de 7 m.. A esta vía, que tiene un trazado paralelo al Rio Aurrá, la acompaña lateralmente un anden o sendero peatonal - todavía sin terminar - (de 1.6 m de ancho) bordeando también el rio, anden que ira a terminar en el sitio turístico de Piedras Verdes.           
Hay trabajos de paisajismo colocando material orgánico traído del sector del Ahuyamal o Guaimaral. Continua el plan de manejo del transito, que fijo los desvíos y/o conexión vehicular con Sopetrán y la vía antigua. Sector variante y Partidas de Sopetrán.</t>
  </si>
  <si>
    <t xml:space="preserve">a) Inactivo. Box, terminada su construcción. En zona anexa se realizaron cortes de carpeta de pavimento (con disco diamantado) a fin de continuar la construcción de cunetas en concreto con sección en L. Se utilizara concreto premezclado de 21 MPa. Sobre el costado del descole se construye un anden peatonal utilizando sardineles prefabricados. 
b) Se realizan trabajos (en forma intermitente), para la reinstalación de defensas metálicas tipo bionda. </t>
  </si>
  <si>
    <t>Muro en TA # 064 (Aproche o rampa sobre el estribo #2 del nuevo puente sobre el Rio Cauca + ODT x 1500 mm</t>
  </si>
  <si>
    <t>PR 45+250</t>
  </si>
  <si>
    <t>PR 45+600</t>
  </si>
  <si>
    <t xml:space="preserve">REHABILITACION DE LA DOBLE CALZADA CD. - SECTOR SAN CRISTOBAL. </t>
  </si>
  <si>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TERMINADA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 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sz val="11"/>
        <color rgb="FFFF0000"/>
        <rFont val="Arial"/>
        <family val="2"/>
      </rPr>
      <t xml:space="preserve"> </t>
    </r>
    <r>
      <rPr>
        <sz val="11"/>
        <color theme="1"/>
        <rFont val="Arial"/>
        <family val="2"/>
      </rPr>
      <t xml:space="preserve">
Se construye losa en concreto reforzado para la unión entre los puentes PK8+705 y PK8+800.
</t>
    </r>
    <r>
      <rPr>
        <u/>
        <sz val="11"/>
        <color theme="1"/>
        <rFont val="Arial"/>
        <family val="2"/>
      </rPr>
      <t xml:space="preserve">SUPERESTRUCTURA
</t>
    </r>
    <r>
      <rPr>
        <sz val="11"/>
        <rFont val="Arial"/>
        <family val="2"/>
      </rPr>
      <t>Instalación de mortero de nivelación con Sika Grout sobre pedestales. Montaje del equipo lanza-vigas.
VANO 1 y 2: Instalación de Vigas prefabricadas sobre apoyos de neopreno, construcción de diafragmas, instalación de pre-losas , instalación acero de refuerzo  losas y se funden para ambas calzadas</t>
    </r>
    <r>
      <rPr>
        <sz val="11"/>
        <color rgb="FFFF0000"/>
        <rFont val="Arial"/>
        <family val="2"/>
      </rPr>
      <t>.</t>
    </r>
    <r>
      <rPr>
        <sz val="11"/>
        <rFont val="Arial"/>
        <family val="2"/>
      </rPr>
      <t xml:space="preserve"> Instalación plataforma y acero de refuerzo voladizo costado derecho e izquierdo calzadas izquierda  y se funden</t>
    </r>
    <r>
      <rPr>
        <sz val="11"/>
        <color rgb="FFFF0000"/>
        <rFont val="Arial"/>
        <family val="2"/>
      </rPr>
      <t>.</t>
    </r>
    <r>
      <rPr>
        <sz val="11"/>
        <rFont val="Arial"/>
        <family val="2"/>
      </rPr>
      <t xml:space="preserve"> Instalación acero de refuerzo y encofrado defensas tipo New Jersey y se funden en calzada izquierda . Se realizan acabados. Instalación plataforma y acero de refuerzo voladizos calzada derecha costado derecho y se funden</t>
    </r>
    <r>
      <rPr>
        <sz val="11"/>
        <color rgb="FFFF0000"/>
        <rFont val="Arial"/>
        <family val="2"/>
      </rPr>
      <t>. Instalación acero de refuerzo y encofrado New Jersey ambos costados calzada derecha, se funden módulos.</t>
    </r>
  </si>
  <si>
    <r>
      <t xml:space="preserve">PUENTE PK9+500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9 de noviembre de 2020.
</t>
    </r>
    <r>
      <rPr>
        <u/>
        <sz val="11"/>
        <color rgb="FFFF0000"/>
        <rFont val="Arial"/>
        <family val="2"/>
      </rPr>
      <t>CONTROL DE EXCAVACIÓN</t>
    </r>
    <r>
      <rPr>
        <sz val="11"/>
        <color theme="1"/>
        <rFont val="Arial"/>
        <family val="2"/>
      </rPr>
      <t xml:space="preserve">
CALDADA IZQUIERDA
ESTRIBO 1. Caisson 1  h=12m; Caisson 2  h=13m 
                                      PILA 1. Caisson 3  h=17m;  Caisson 4  h=19m
PILA 2: Caisson 5 h=21m
</t>
    </r>
    <r>
      <rPr>
        <u/>
        <sz val="11"/>
        <color rgb="FFFF0000"/>
        <rFont val="Arial"/>
        <family val="2"/>
      </rPr>
      <t xml:space="preserve">INFRAESTRUCTURA
</t>
    </r>
    <r>
      <rPr>
        <sz val="11"/>
        <rFont val="Arial"/>
        <family val="2"/>
      </rPr>
      <t>ESTRIBO 1: Instalación acero de refuerzo núcleos Caisson 1 y 2 y se funden. Instalación acero de refuerzo  y encofrado Viga cabezal y se funde con topes sísmicos y pedestales y muro espaldar.</t>
    </r>
    <r>
      <rPr>
        <sz val="11"/>
        <color rgb="FFFF0000"/>
        <rFont val="Arial"/>
        <family val="2"/>
      </rPr>
      <t xml:space="preserve"> Instalación acero de refuerzo y encofrado aleta izquierda y se funde.
</t>
    </r>
    <r>
      <rPr>
        <sz val="11"/>
        <rFont val="Arial"/>
        <family val="2"/>
      </rPr>
      <t>PILA 1:  Instalación acero de refuerzo núcleo de Caisson 3 y 4 y se funden</t>
    </r>
    <r>
      <rPr>
        <sz val="11"/>
        <color rgb="FFFF0000"/>
        <rFont val="Arial"/>
        <family val="2"/>
      </rPr>
      <t>. Instalación acero de refuerzo y encofrado elevación Columnas a nivel de Viga cabezal y se funden.</t>
    </r>
  </si>
  <si>
    <r>
      <t xml:space="preserve">PUENTE PK9+900 UF1. </t>
    </r>
    <r>
      <rPr>
        <sz val="11"/>
        <color theme="1"/>
        <rFont val="Arial"/>
        <family val="2"/>
      </rPr>
      <t>El concesionario inicia con la construcción de caminos de acceso al sitio de las obras y replanteo topográfico de ubicación de caisson a partir del</t>
    </r>
    <r>
      <rPr>
        <sz val="11"/>
        <color rgb="FFFF0000"/>
        <rFont val="Arial"/>
        <family val="2"/>
      </rPr>
      <t xml:space="preserve">  6 de noviembre de 2020.
</t>
    </r>
    <r>
      <rPr>
        <u/>
        <sz val="11"/>
        <color rgb="FFFF0000"/>
        <rFont val="Arial"/>
        <family val="2"/>
      </rPr>
      <t>CONTROL DE EXCAVACIÓN</t>
    </r>
    <r>
      <rPr>
        <sz val="11"/>
        <color theme="1"/>
        <rFont val="Arial"/>
        <family val="2"/>
      </rPr>
      <t xml:space="preserve">
CALDADA IZQUIERDA
 ESTRIBO 1. Caisson 1 h=15,5m; Caisson 2 h=15,5m 
                                ESTRIBO 2. Caisson 3  h=10,5m; Caisson 4  h=10,8m
</t>
    </r>
    <r>
      <rPr>
        <u/>
        <sz val="11"/>
        <color rgb="FFFF0000"/>
        <rFont val="Arial"/>
        <family val="2"/>
      </rPr>
      <t xml:space="preserve">INFRAESTRUCTURA
</t>
    </r>
    <r>
      <rPr>
        <sz val="11"/>
        <rFont val="Arial"/>
        <family val="2"/>
      </rPr>
      <t>ESTRIBO 1: Se instala acero de refuerzo y se funde núcleos de Caissons 1 y  2 y se funden</t>
    </r>
    <r>
      <rPr>
        <sz val="11"/>
        <color rgb="FFFF0000"/>
        <rFont val="Arial"/>
        <family val="2"/>
      </rPr>
      <t xml:space="preserve">. Adecuación área para construcción de Estribo. Se funde solado e instalación acero de refuerzo Viga Cabezal.
</t>
    </r>
    <r>
      <rPr>
        <sz val="11"/>
        <rFont val="Arial"/>
        <family val="2"/>
      </rPr>
      <t xml:space="preserve">ESTRIBO 2: Se instala acero de refuerzo y se funde el núcleo del Caisson  3 y 4. </t>
    </r>
    <r>
      <rPr>
        <sz val="11"/>
        <color rgb="FFFF0000"/>
        <rFont val="Arial"/>
        <family val="2"/>
      </rPr>
      <t>Adecuación área para construcción Estribo.</t>
    </r>
  </si>
  <si>
    <r>
      <rPr>
        <b/>
        <sz val="11"/>
        <color theme="1"/>
        <rFont val="Arial"/>
        <family val="2"/>
      </rPr>
      <t>AMPLIACIÓN PUENTE N°3 QUEBRADA LA COLA . PK2+430 UF1.</t>
    </r>
    <r>
      <rPr>
        <sz val="11"/>
        <color theme="1"/>
        <rFont val="Arial"/>
        <family val="2"/>
      </rPr>
      <t xml:space="preserve">  El concesionario inicia actividades el 1 de junio de 2020.  Este Puente está conformado por 3 luces en Vigas postensadas para una luz total de 60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y se retira el tablero y los New Jersey existentes en el primer vano.  Demolición de losa sobre Vigas existentes. Instalación de plataforma para construcción de voladizos ambos costados. Se realizan perforaciones  y cortes en la losa existente vanos 1, 2 y 3. Se instala concreto de 49 Mpa. para nivelación de vigas vanos 1 , 2 y 3. Se instalan láminas de Steel-Deck , para losa vanos 1 , 2 y 3. Se instala acero de refuerzo losa vanos 1 , 2  y 3 y se funden..</t>
    </r>
    <r>
      <rPr>
        <sz val="11"/>
        <color rgb="FFFF0000"/>
        <rFont val="Arial"/>
        <family val="2"/>
      </rPr>
      <t xml:space="preserve"> Se instala baranda metálica por ambos costados y pintura de poliuretano. Falta instalar carpeta de rodadura.</t>
    </r>
  </si>
  <si>
    <t>Ampliación Puente N°3 PK2+430 UF1 Quebrada La Cola. Vista panorámica desde PK mayores. Falta instalar carpeta de rodadura.</t>
  </si>
  <si>
    <t>Ampliación Puente N°3 PK2+430 UF1 Quebrada La Cola.  Baranda vehicular, costado izquierdo. Falta instalar carpeta de rodadura.</t>
  </si>
  <si>
    <t>Ampliación Puente N°4 PK2+600 UF1 Quebrada La Nuez.  Acabados finales baranda vehicular. Falta instalar carpeta de rodadura.</t>
  </si>
  <si>
    <t>Ampliación Puente N°4 PK2+600 UF1 Quebrada La Nuez.  Vista panorámica desde PK mayores.  Falta instalar carpeta de rodadura.</t>
  </si>
  <si>
    <t xml:space="preserve">Ampliación Puente N°11 PK8+790 UF1 Quebrada La Roncha. Vista panorámica desde PK menores. INACTIVO </t>
  </si>
  <si>
    <t>PK3+230 - UF3.1D - Caja de inspección residuos contaminantes. Portal Santa Fe (hastial izquierdo).</t>
  </si>
  <si>
    <t>UF2.1 Ruta 6204 PR11+100 - PR11+400 Control vehicular por reducción de carril.</t>
  </si>
  <si>
    <t>3. ESTADO DE AVANCE SOCIAL</t>
  </si>
  <si>
    <t xml:space="preserve">Programa 5. Apoyo a la capacidad de gestión institucional </t>
  </si>
  <si>
    <t xml:space="preserve">Programa 8. Cultura vial </t>
  </si>
  <si>
    <t xml:space="preserve">Programa 9. Acompañamiento socio predial </t>
  </si>
  <si>
    <t>ÉPSILON4G</t>
  </si>
  <si>
    <t>C303700071-8477-2320</t>
  </si>
  <si>
    <r>
      <t xml:space="preserve">Cumplió aporte del mes de Febrero 2021 </t>
    </r>
    <r>
      <rPr>
        <sz val="11"/>
        <color rgb="FFFF0000"/>
        <rFont val="Arial"/>
        <family val="2"/>
      </rPr>
      <t>Pendiente ajustar IPC</t>
    </r>
  </si>
  <si>
    <t>Ene-21</t>
  </si>
  <si>
    <t>Aporte de Febrero -2021</t>
  </si>
  <si>
    <t>Giro 44</t>
  </si>
  <si>
    <t>incumplió por fecha , debe ajustar IPC</t>
  </si>
  <si>
    <t>Aporte semestral 2021-01</t>
  </si>
  <si>
    <t>RESPUESTA A COMUNICACDO EPS4G-1407-20 RESPUESTA A COMUNICADO D0003796 ENTREGA DE MODIFICACION DEL DISEÑO SISTEMA ELECTROMECANICOS ITS SEGUNDO TUBO OCCIDENTE</t>
  </si>
  <si>
    <t>D-02-01-20210218-000467</t>
  </si>
  <si>
    <t>Del 18/02/21
al 24/02/21</t>
  </si>
  <si>
    <t>Se terminaron actividades sobre el terraplén. Se le realizo impermeabilización exterior (sobre el paramento en contacto con tierras) con pintura bituminosa en el canal abierto de conducción de aguas y también se termina la construcción del buzón intermedio. La ODT construida fue en tubería Titan x 1500 mm. Hubo excavación lateral para el tendido (subterráneo) de redes eléctricas y de ITS. Se inicio la colocación de granulares empleándose la motoniveladora CAT 140 M y el vibro para afirmados Hamm. 
El trayecto hacia la antigua ubicación del negocio, se excava con CAT 330 D2L y el material se coloca como llenos sobre el costado del canal abierto; también se trasladaron palmas para su resembrado en La Aldea. 
Hacia el PK menor, se tiene un gran acopio de material de fresado o RAP y material granular. 
El tramo solo se permite para el transito temporal de los vehículos y equipos de la Concesión. Sector El Arriero.</t>
  </si>
  <si>
    <t xml:space="preserve">a) El tramo ya cuenta con la mezcla asfáltica en caliente tipo MSC-25. Se continuara actividad de construcción de cunetas con sección V y con sección en L sobre el PK 3+700. Se seguirá construyendo un canal abierto tipo cárcamo con bordillos discontinuos para captación de aguas "por bombeo" de la nueva calzada y recibir aguas de ODT. Se utilizo concreto premezclado de 21 MPa, transportado en mixer. Hubo traslado y resembrado de palmeras traídas del sector El arriero.  
b) Inactivo. Realizado el fresado y excavación en busca de fallos, blandones y humedades se realizo la instalación de  base granular e  imprimación de granulares con emulsión de rompimiento lento y posterior instalación de mezcla asfáltica tipo MSC-25. Se acondiciono cuneta en V para acceder a negocio particular. Sector intervenido frente al Trapiche comunitario y Rancho Alegre.  </t>
  </si>
  <si>
    <t xml:space="preserve">El tramo ya cuenta con la capa intermedia asfáltica en caliente tipo MSC-25. Mediante el uso de disco diamantado y una pajarita se realiza la construcción y/o el realce del nivel de la cuneta "antigua" con sección en L. Se encuentra en ampliación un puente existente. El transito automotor circula por la nueva calzada. </t>
  </si>
  <si>
    <t>Hubo actividad de corte mecánico mediante el uso de una excavadora CAT 320 D2 que incluyo retiro de material. Se realizo la instalación de malla electro soldada y concreto lanzado sobre el talud destapado y cortado, para evitar derrumbamientos o desprendimientos. Se demolieron 2 muros existentes. Hacia el PK mayor se llevo a cabo la construcción por etapas para zapatas y vástagos, con diferentes cota de cimentación. Terminados los vástagos se les impermeabilizan tramos aplicando pintura negra bituminosa y armando de filtros con llenos granulares sobre su trasdós. Sobre la siguiente área están construidos los 21 caissons con su viga de encepado. Se colocan los aceros de refuerzo empatándolos con los aceros de los vástagos del primer tramo (tanto en espesor como en altura). Sobre la calzada izquierda (o nueva calzada) sigue habilitado el tramo para el transito automotor, previa demarcación y señalización con delineadores tubulares y maletines.</t>
  </si>
  <si>
    <t xml:space="preserve">En la parte mas baja se sigue abriendo espacio para acceder fácilmente sobre el aproche # 2 del nuevo puente sobra La Rochela, y se direcciona el corte hacia el muro de TA # 026 de la CI. Se continuara corte mecánico de material derrumbado (con 2 CAT sobre orugas), pero sobre la parte media alta del talud derrumbado, con difícil acceso de las volquetas por su alta pendiente. También se sigue transportando con equipo sobre orugas, materiales y equipos (ej. malla 15x15x6 + cemento + agregados) hacia la parte alta del corte. Sobre la corona del talud, se realiza corte y estabilización en dos tramos o etapas para la primera fase de talud. Se instalaron paneles de malla electrosoldada y se aplica concreto lanzado. Sobre la primera fase del perfilado, se están colocando anclajes activos (@ 3 torones de acero), con L = 22 m. e inclinación de - 10 grados. Sobre la plataforma del nuevo puente se instala el campamento y allí, se ensamblan las sartas de torones y la formaleta para los dados de anclaje. El material cortado se lleva al lleno del PK 11+800 o al frente Doña Rosa. Cuando hay lluvias se afectan los trabajos de corte mecánico y de los acarreos. Sector de La Rochela. 
Hacia PK mayor, el transito automotor se le habilito su paso por los nuevos puentes de ese sector y se abandonara en su totalidad la calzada existente. </t>
  </si>
  <si>
    <t>a) Trabajos intermitentes. Sobre el perfilado del talud se continuara realizando la consolidación del talud (en su segunda fase) con la colocación de pernos pasivos de anclaje (con varillas corrugadas # 10 y de Fy= 60 000 psi. y de L= 12 m) en una grid de 3 x 3 m. Después el cubrimiento y protección se hará con malla de acero electrosoldada (15x15x6)  y concreto lanzado (e= 10 cm) de 28 MPa. Para la mayoría de los trabajos, se utiliza personal y equipo suspendido.
b) Para la vía de acceso a la Vda. Mestizal alto, se continuara la construcción de algunos drenajes pendientes. Sobre el costado izq., se fundió en concreto un disipador longitudinal (o corta aguas) anexo al pavimento rígido. Hubo fundida de bordillos discontinuos en concreto (0.15x0.15x1.8 m). Algunas lluvias afectan trabajos y las zonas de talud no recubiertas o protegidas con geosinteticos y por lo tanto se le forman surcos y cárcavas.  En la parte alta se termino un peinado mecánico con CAT 317D, debido a material derrumbado y rodado sobre la vía veredal. Sobre la pata del talud y calzada existente se realizo la extensión de material  granular para formar la estructura granular del pavimento flexible. Sigue pendiente un nuevo traslado de redes secas. Se trabaja con personal PARE / SIGA
c) Sobre la calzada existente y sobre la opuesta, finalizo el corte mecánico y se unieron las rasantes de dos (2) puentes consecutivos en construcción. Se coloco la capa asfáltica en caliente tipo MSC-25. Espacios anexos pero en un nivel mas alto, fueron ocupados para el parqueo de equipos y elementos necesarios en obra, como bodega y montaje de campamento. Sigue pendiente nuevo traslado de redes secas. Se trabaja con personal PARE / SIGA.</t>
  </si>
  <si>
    <t>Continúan trabajos con corte de montaña en el sector de Piedra Negra, con el uso de explosivos químicos controlados y de patrones de perforación. Personal removió previamente material rocoso suelto (pre corte) para la preparación de perforación / voladuras. Se utilizaron compresores y martillos neumáticos. Como sistema de control y amortiguación en el momento de hacer las voladuras, se utilizan llantas, cadenas, mallas electrosoldadas y tapetes de caucho a fin de evitar esquirlas y la menor perturbación posible sobre las viviendas y la vía.</t>
  </si>
  <si>
    <t>Sobre la pata del talud se realizo construcción de escollera utilizando grandes rocas + concreto hidráulico. Se termino la construcción de colchón filtrante (para deprimir el NAF) sobre escollera  (de 5 m x L= 50 m) con geotextil NT-2500 Pavco y tubo de drenaje ranurado y se continua instalación de material seleccionado. Todo el polígono del talud se cubrió con geotextil. El trabajo se realiza con bulldozer CAT D6T y vibro compactador. Hubo también remplazo de térreos de mala calidad y húmedos, por rocas y bloques de gran tamaño (trabadas entre si) y se prolongó un tramo del colchón filtrante (con uso de geotextil para drenaje + material permeable + tubería ranurada) y sobre el cual se realizan también llenos compactados. Las capas superiores del lleno incluyendo los granulares, se remataron con motoniveladora CAT 140 M + CAT 317D + vibro Hamm. Ya se cuenta con la estructura granular del pavimento flexible. Esta pendiente la construcción de la placa de acceso del nuevo puente (estribo #1).   
Anexo a esta obra, se terminaron los trabajos relacionados con la construcción de caissons + columnas + vigas cabezales, del nuevo puente vehicular. Los llenos compactados ya llegan hasta este nivel. Sector de Doña Rosa.</t>
  </si>
  <si>
    <t xml:space="preserve">Inactivo. Realizada la construcción un diente de cortante de forma trapezoidal (escollera "con el uso de bloques de piedra" + concreto; de 4m x 2.7m) a manera de llave sobre este y también detrás del mismo se realizo la construcción de los drenajes profundos (primarios y secundarios) empleando tubería de 3" + pozos drenantes y de 8". De esta manera el agua recogida verterá sus aguas a la cañada. 
Terminada la construcción del muro escollera con la colocación y el acomodo de grandes rocas superpuestas una a la otra, utilizando excavadora CAT 330 D2L; se entro de inmediato en la etapa siguiente de confección del terraplén, se utilizo un bulldozer CAT D6T y un vibro pesado (para los afirmados) de aro y llanta Hamm, y en ocasiones CAT sobre orugas.  Se continúan el extendido de las capas horizontales de llenos compactados (con capa # 37) para un único banco y con única pendiente uniforme, con un ancho promedio de 8 m. Hay estacas que marcan llenos de mas de 20 m., de altura y con talud de 2 1/4H:1V. Se trae material acarreado desde La Rochela. 
Sobre la plataforma vial (que esta en otro nivel superior) y que viene desde la planta de trituración, se extiende y compacta material de llenos y también se adiciona material fresado o RAP. Este tramo intervenido tendrá que llegar a alcanzar una cota de rasante similar a la vía existente (o PK 13 - campamento de MAR1), por lo tanto continuaran los llenos. </t>
  </si>
  <si>
    <t>a) Continuara el revestimiento del talud con malla electrosoldada y concreto lanzado. Se tiene terminado el confinamiento (con pernos roscados # 10 + drenes en PVC + malla electrosoldada + concreto lanzado), la segunda fase del talud ya perfilado ya que en su corona (primera fase) se presento un agrietamiento superficial el cual fue peinado y bajada su pendiente, se le ha colocado malla electrosoldada. La tercera fase ya se tienen colocados paneles de malla electrosoldada y pernos. Hacia el PK mayor (talud de interacción con las construcciones particulares de La Hostería) se hacen perforaciones para colocar pernos de anclaje + drenes en PVC (se utiliza equipo autopropulsado sobre orugas); hay trabajos de inyección de pernos con el uso de morteros de cemento. Un tramo final del talud de corte, se cubre utilizando plásticos a fin de proteger los suelos de una sobre saturación debido a las lluvias. Hay presencia de aguas infiltradas. La firma consultora Consulcivil SAS realizo un sondeo profundo. 
Sobre la segunda berma de cortante, se emplazo la entrada al negocio particular de Las Grutas y se le extiendo y compacto material de fresado o RAP. Se termino la construcción de la cuneta de borde que tendrá una sección en V. En la parte central (que vendría a ser la tercera berma) se excavo la plataforma vial encajonada donde se emplaza la nueva calzada, hay colocación de piedra rajón para mejorar la cimentación de la estructura del pavimento flexible. Se construye una ODT x 900 mm, con tubería acampanada, sus buzones (encole / descole), y se inicia la construcción de un disipador que sale casi debajo de la plataforma de la piscina. Las rasantes de esta la vía nueva con el tramo del PK 13 no se han unido. Hay permanentes trabajos topográficos. Cuando hay lluvias se retrasan los trabajos de cortes y acarreos. Para acceder o dejar el frente de obra en conexión con la actual calzada, se trabaja con personal PARE / SIGA, sector Hostería Las Grutas.
b) Sobre el box del PK 12+764 se termino la construcción del segundo y ultimo tramo de box gemelo. Para concluir con la obra, se hizo la demolición de un pontón existente a fin de alargar "aguas arriba", el par de box en construcción. Se termina con la fundida de las aletas del descole, su impermeabilización se hace aplicando pintura negra bituminosa + laminas de lamidren planar (a los paramentos de concreto en contacto directo con tierras) y la construcción de los sub drenajes laterales (con piedra filtro + geotextil + tubo ranurado). Para todo el cuerpo del box, se utilizo concreto premezclado y bombeado de 28 MPa. La obra es de L = 21 m. de largo. Las aguas de la Qda. (San Juana II), circulan libremente por el box. Sobre un área vecina hubo demolición de una vivienda y se continúan con los llenos laterales compactados con Hamm. Sector Hostería Las Grutas.</t>
  </si>
  <si>
    <t xml:space="preserve">Se termino el fresado en frio con el equipo SANY C8. Esta capa asfáltica (deteriorada y fallada) tiene un espesor que oscila entre 16 a 18 cm. Se fresaron franjas, fallos, deformaciones, agrietamientos e inestabilidades. También hubo bacheos aislados tipo cajeo. Se agregan áridos vírgenes tipo BG granular utilizando la motoniveladora, luego de su compactación se continuo con la etapa de imprimación con emulsión asfáltica de curado lento y el extendido de la capa intermedia asfáltica en caliente tipo MSC-25. Se realizan cortes con disco diamantado a fin de construir cunetas con sección en L por el sistema de ajedrezado. Sector Tamarindos / Comfenalco.
Hacia PK mayor (legando a Margarita del 8), después del fresado + la adición de áridos vírgenes + la colocación de la capa asfáltica se inician cortes con disco diamantado para la construcción de cunetas (por sistema de ajedrezado) con sección en L. El transito automotor se habilito por la nueva calzada, previa demarcación del tramo. </t>
  </si>
  <si>
    <t>Box # 072 + Fresado + Granulares CD + Mejoramiento de la calzada existente o CI</t>
  </si>
  <si>
    <t>Material seleccionado (estructura de pavimento flexible) + capa asfáltica + señalización en CD</t>
  </si>
  <si>
    <t xml:space="preserve">Inactivo. El tramo ya cuenta con la capa asfáltica intermedia tipo MSC-25 (sobre el antiguo sector Margarita del 8 o variante a San Jerónimo). Con su señalización o demarcación horizontal se habilito al servicio del transito automotor de un largo tramo siendo utilizado para el rodaje sobre el nuevo puente sobre la Guaracú I . </t>
  </si>
  <si>
    <t>a) Tramo inicial, inactivo: Se termino el corte y excavación para conformación de la banca (se bajo rasante hasta 3 m de profundidad). Ya encontrada la cota de sub rasante se colocaron granulares que formaron el paquete estructural del pavimento flexible. Impermeabilizados estos granulares se extendió la capa asfáltica en caliente MSC-25. Previamente se construyeron los subdrenaje (geotextil NT + piedra filtro +tubo ranurado en PVC). Sobre ese primer tramo también se termino la construcción de las cunetas laterales con sección en L.  
Se realiza instalación e inyección de pernos (se tiene a la fecha 310 pernos de L= 9 m y 70 drenes en PVC ). Se colocan pernos pasivos de anclaje con malla 3 x 3 m., y L= 9 m.  Se continua  instalación de  malla (15x15x6) en la parte media baja. 
Hacia el PK medio y sobre el talud (intermedio) separador de calzadas, se concluyo la consolidación con pernos pasivos # 10 colocados @ 1.5 m de distancia y luego la aplicación de concreto lanzado bombeado y transportado en mixer. 
b) Tramo final: Hacia PK mayor del talud que llevara tres banqueos, sigue ubicada una CAT (sobre orugas) que realizo el perfilado y excavación sobre berma de cortante. Sobre la fase # 1 se instalo malla electrosoldada (15x15x6mm) + pernos autoperforantes (L= 9 m) y se aplica concreto lanzado (colocado por bombeo y transportado en mixer). Hay perforadora sobre orugas auto propulsada, en la corona del talud de este tramo en intervención, esto lo realiza el contratista Geodic. Personal de MAR1 realiza la construcción  de la zanja de coronamiento. La firma consultora Consulcivil SAS, realizo un estudio del sub suelo (sondeo a profundidad  hasta 30 m) sobre la corona del talud. 
Siguen apareciendo agrietamientos desde la zona alta y media alta (en forma diagonal) del talud en recubrimiento hacia el talud ya protegido, llegando el fisuramiento hasta la pata del talud. Debido a una corta lluvia del martes en la noche (9 de Feb.) el talud en tratamiento y perfilación sufrió un deslizamiento tipo rotacional, y luego lluvias adicionales aumentaron el tamaño del deslizamiento. Ahora se procede por el método de traspaleo a descargar el material rodado y deslizado que tapono la calzada en construcción. Hay chequeos topográficos.  
Sobre el PK menor (previa demarcación) se permitió el cruce del transito automotor, pero el transito sigue utilizando "en su mayoría" la calzada existente. Sector ubicado cerca a La Guaracú I.</t>
  </si>
  <si>
    <t xml:space="preserve">a) Inactivo. La obra finalizada hizo conexión (en escuadra) sobre las bases del estribo # 2 del puente K 4+500. Es un muro de 119 m de largo con varios niveles de cimentación debido a la topografía del lugar. El polígono formado por el talud de corte y que sostiene la actual vía (con concreto lanzado) se cubrió con laminas de geodren planar a medida que se subieron con los niveles de llenos. Ahora personal realiza trabajos de adecuación de cuneta perimetral (con prefabricados trapezoidales) sobre el intradós del muro. Se continua con la construcción de una viga (tramificada) de realce a todo lo largo del muro y apoyada sobre el borde de las escamas prefabricadas (ancho 2.0 x h= 0.5 y tramos de 2.9 m.). Hacia PK menor hay un PARE / SIGA, porque todos los vehículos circulan por un solo carril y sobre la calzada existente.
b) Sobre la calzada existente, (y hacia el PK menor), se somete el talud de la vía a la colocación de pernos pasivos (autoperforantes # 10) en una única fila, así: Tramo # 1; 9 Und. con L= 9m; Tramo # 2 y # 3 con 10 Und. con L= 6 m., para un total de 19 pernos, cuyo hueco se hace con un equipo Komatsu sobre orugas. Hay también colocación de drenes en PVC de D= 2.5". </t>
  </si>
  <si>
    <t>a) Colocada la capa intermedia de mezcla asfáltica tipo MCS-25 y posterior demarcación, se transita por esta nueva calzada y se abandona la nueva bajando para realizar la construcción de cunetas con sección en L. Sector Polvorería / Llanerito.
Por lo tanto desde La Margarita del 8 hacia La Guaracú I se realizo el fresado "en frio" selectivo y por franjas. Una vez agregados los áridos vírgenes se imprimaron y se coloco la capa intermedia de mezcla asfáltica tipo MSC-25. Se interviene en esta calzada el puente existente para su ampliación.</t>
  </si>
  <si>
    <t>Inactivo. Los cortes sobre los taludes (en cajón) mostraron desde su comienzo ser altamente erosionables y se formaron poco a poco deslaves y surcos, y en consecuencia el talud mas alto y con forma sesgada sufrió descompresión en varios tramos. La temporada invernal afecto el estado de los agrietamientos. Por lo tanto se inicio su peinado (mecánico con CAT y que no se concluyo) para remover el material fallado y de esta manera se tiende con una menor pendiente la única cara que poseía el talud perfilado y fallado el pasado año (agosto). Se suprime el paso vehicular que se había habilitado "por un carril" y bajando hacia San Jerónimo, por lo tanto todo el transito automotor circula por la calzada subiendo. Sector o Zona Urbana de San Jerónimo y limites con la UF-1.0.</t>
  </si>
  <si>
    <t xml:space="preserve">Inactivo. Terminados los trabajos ejecutados con la lanzavigas, esta se desarmo para llevarla a otro frente de trabajo (Meloneras). El tramo se interviene nuevamente con la instalación de redes ITS, y con la colocación en definitiva de las capas granulares, también se coloco la capa asfáltica. Mediante cortes con disco de tungsteno se realizo la construcción de cunetas en concreto, con sección en L. Realizados todos los trabajos, se hizo su demarcación horizontal y se habilito el tramo para todo el transito automotor (bajando / subiendo). Por lo tanto se hizo uso del nuevo puente La Muñoz I.  </t>
  </si>
  <si>
    <t>La canalización de las aguas de la Qda. La Muñoz I, fue terminada con la construcción del box. Este se construyo con un total de 5 módulos y sus dimensiones finales son:  L = 90 m x H = 5.5 m "gálibo" x Ancho = 6. 0 m. Se llevaron a cabo los llenos para ambos costados. También se termino la rampa con llenos sobre el estribo # 2 (previa fundida de su placa de aproximación en concreto reforzado). Gran parte del área ya cuenta con la capa asfáltica en caliente MSC-525. Se trabajo en la construcción de redes de drenajes superficiales y en la colocación de sardineles prefabricados. Hubo alargue de la aleta del encole del box, cerca a la Ciudadela Premium. Se ha habilitado el transito automotor por el nuevo puente vehicular y sobre los retornos en superficie, por lo tanto procedió a la demarcación horizontal utilizando pintura (B/A), colocando maletines y delineadores tubulares y poder canalizar el transito automotor que entra y sale del Municipio.</t>
  </si>
  <si>
    <t>Corte mecánico con CAT - ODT # 085, prolongación de tramo ya iniciado. CD + Muro # 109 en HA (con 3 módulos separados)</t>
  </si>
  <si>
    <t>Se terminaron los fresados en frio con equipo SANY C8. Se fresaron tramos completos de la calzada existente que tiene un espesor promedio de 16 cm. Sobre la corona de la curva vertical convexa se retira capa asfáltica y la totalidad de la estructura granular (con dos CAT sobre orugas, con uso de la cuchara y/o martillo hidráulico) a fin de bajar (por lo menos en 3 m.) la cota y modificar el PIV de la curva vertical. Por lo tanto las rasantes de ambas vías se irán a igualar en un largo trayecto. 
Donde lo permitieron los trabajos se colocaron granulares y luego se procedió a su imprimación; se tiene preparado el tren de pavimentación Dynapac para la colocación de la capa asfáltica. Hacia el PK mayor "después de La Qda. La Espada" hubo fresado selectivo, bacheos aislados tipo cajeo, fresado por franjas según la severidad de grietas, de deformaciones o de las inestabilidades. Allí también se coloco la capa asfáltica tipo MSC-25. Se construyen cunetas en concreto. Parte de los espacios son ocupados para el acopio de vigas pretensadas y grúas de gran potencia.  El transito automotor circula por la nueva calzada. Frente de obra ubicada en el sector de Loma Hermosa / El Francés.</t>
  </si>
  <si>
    <t>a) Inactivo. Con el uso de tres excavadoras CAT (pluma + cucharon y plumas + martillos) se termino la excavación de una montaña con formación rocosa, cuyo material se llevo en volquetas al box en la zona urbana de San Jerónimo, al Ahuyamal y a otros puntos de acopio y procesamiento. La finalidad del trabajo, es cortar y unir las rasantes de dos puentes en construcción. Se colocaron granulares provisionales para  poner a trabajar La Lanzavigas. El área física se tiene ocupada con campamentos, deposito de materiales, de vigas pretensadas, área de trabajo y para maniobras de movimiento de equipos.  
b) En su área anexa y hacia el PK menor, se termino con la construcción de un muro (# 172) en HA, que será de acompañamiento sobre el estribo # 2 del nuevo puente o K 21+500; este tuvo cuatro (4) cotas diferentes de cimentación escalonada. Se inician los llenos compactados previa impermeabilizan los concretos que quedaran en contacto con tierras (se utilizo pintura negra bituminosa + laminas de geodren nodular 600). Se construyo la placa de aproximación. Hay trabajos topográficos. Esta pendiente de llegar a la verdadera cota de subrasante. Se trabaja con personal PARE / SIGA</t>
  </si>
  <si>
    <t xml:space="preserve">a) Inactivo. Hacia el PK menor, se realizo el fresado en frio con el equipo Wirtgen W-150, por un extremo de la actual calzada. Se utilizo parte del granular existente y otro granular virgen (BG) se adicionó. Se hizo su imprimación con emulsión asfáltica y se coloco la capa asfáltica en caliente MSC25. Se terminara con la construcción de cunetas en concreto (premezclado de 21 MPa) con sección en L y fundidas en ajedrez.
b) En el tramo medio de este sector se levanto la totalidad de la estructura del pavimento existente (con fresado y excavadora), se levanto la rasante de una curva vertical cóncava y se procedió a la sobre excavación para buscar las cotas de cimentación de un muro curvilíneo en HA o # 042 o PK 21+450). Fueron fundidas por tramos las 5 zapatas fundidas y con diferente cota de cimentación, lo que equivale a tener cimentación escalonada. Se utilizo grúa dotada con eslinga, excavadora CAT y el colado (de la obra por tramos) se realizo utilizando concreto premezclado de 28 MPa., y colocado siempre por sistema de bombeo. A medida que subió de nivel con los concretos (vástagos) estos se impermeabilizan aplicándose pintura negra bituminosa. Se construyeron los subdrenaje, se colocaron llenos con el uso de un bulldozer y se compactaron con vibro para afirmados. Hubo construcción (por alargue) de ODTs # 216 x 900 mm., + ODT # 094 x 900 mm., que verterán directamente sus aguas al Rio Aurrá. El tramo ya cuente con capa asfáltica  tipo MSC-25. Se procede a construir un disipador + cunetas laterales con sección en L + bordillos prefabricados. Los trabajos son revisados mediante chequeos topográficos. Sobre este tramo existe permanentemente caída de piedra. Todo el transito automotor circula por la nueva calzada. Sector Meloneras.    
c) Inactivo. Sobre el PK 21+812 se realizo actividad de corte y preparación para prolongación de ODT # 096, se instalan 5 tubos Titán acampanados x 900 mm x 2.5 m, se realizo fundición de su atraque (esta ODT traspasa el muro en TA o K 22+560 CD, hubo necesidad de demoler un muro robusto de concreto existente. Hacia el K 21+860 después de colocados los granulares se precedió a la imprimación con el uso de emulsión asfáltica de curado lento. También se realizo la instalación de la capa intermedia asfáltica tipo MSC-25. Se inicio la construcción de cunetas triangulares por ambos costados de la calzada, previo corte con disco diamantado de la capa asfáltica. También se construyo un canal abierto / cerrado tipo cárcamo (60 x 60 cm), y un muro corto para dar acceso a una finca particular. Hubo actividades de paisajismo sobre el separador central. Sector Meloneras. </t>
  </si>
  <si>
    <t xml:space="preserve">Se realizo actividad de paisajismo en los anillos viales del retorno (con pajarita CAT 416F) incluyendo la construcción de sardineles en concreto y de cunetas con sección en L y en V. Hubo sembrado de palmas. Se reinician (en forma intermitente) trabajos de seguridad vial, con la colocación de defensas metálicas, tipo bionda. Con excavadora CAT 330 D2L, se inicia el corte mecánico del talud, con dirección hacia Villa del Marques. Lluvia afectan trabajos. </t>
  </si>
  <si>
    <t>Acceso a La Puerta (falso túnel) + ODT # 132 - CD</t>
  </si>
  <si>
    <t xml:space="preserve">a) En el patio que funciona como de acopio de materiales (planta de asfaltos), se continua la construcción de un paso inferior para acceder a La Puerta. Ya se encuentra fundido el 100 % del cuerpo del box. El galibo horizontal de la obra es de 4.5 m. x galibo vertical 3 m. x L= 34 m. Se inicio la colocación de llenos laterales aprovechando la cercanía del material procedente de la planta. La obra la realizara el Concesionario mediante acuerdo con la Comunidad por consulta previa, y por esto no se encuentra con algún avance especifico dentro de su plan de obras. Además será conocido como el puente # 048.  Anexo al box se realiza alargue de ODT # 132   utilizando tubos Titan acampanados x 900 mm. 
b) Hacia el PK mayor se inician trabajos de rocería, tala y limpieza de rastrojos y matorral, destronques y retiro de maleza y que por su proximidad la Rio Aurrá se hará un muro escollera. Se trabaja con bulldozer y excavadoras sobre orugas CAT (330 y 312C), se trae material de bancos de corte / préstamo. Hay demolición del restaurante Los Guajiros. Hay control topográfico. Lluvias afectan trabajos. Sector Villa Carnelly </t>
  </si>
  <si>
    <t xml:space="preserve">a) Inactivo. Se trabajo en las ODT # 139, # 140 y # 141. Se trabajo en buzón y en disipador sobre estas ODTs. Se realizan trabajos de paisajismo. Ahora se colocan defensas metálicas tipo bionda, se utiliza el martillo hidráulico montado en un equipo Bobcat. Al talud del terraplén se le realizo una hidrosiembra y se le protegió con manto anti erosión.     
b) Inactivo. La calzada opuesta a este frente (o PK 27+700 CI), ya cuenta con la capa asfáltica en caliente tipo MSC-25. Se realizaron cortes con disco diamantado (sobre la capa asfáltica) para la construcción de cunetas en concreto (premezclado de 21 MPa) se funden por el sistema de ajedrezado y con sección hidráulica en L. Se realizaron arreglos a entradas de fincas de particulares.       </t>
  </si>
  <si>
    <t xml:space="preserve">Finalizo construcción por tramos de losa de contrapiso con e= 80 cm. +  muros + placa aérea + aletas (encole / descole). El concreto pre mezclado utilizado en todos los casos "es bombeado" y de 28 MPa. (o 4000 PSI). La obra tuvo un galibo vertical de 5.7 m. Hay retiro de los andamios de carga sobre el tramo que se fundió de la placa aérea. Se impermeabilizaron concretos cuyo paramento quedo en contacto con tierras (pintura negra bituminosa) y se colocan adicionalmente laminas de geodren nodular 600. (como drenaje vertical). Sobre ambos costados se terminaron con los llenos (por capas) compactados con vibro. Se termino la construcción de las placas (reforzadas) de acceso o de aproximación por ambos costados. Hay trabajos de limpieza y arreglo en remates. Esta obra corresponde al futuro acceso vehicular a la Vda. Guaimaral y la realiza el Concesionario mediante acuerdo con la Comunidad por consulta previa, y por esto no se encuentra con algún avance especifico dentro del plan de obras. Además es conocido como el puente # 045. </t>
  </si>
  <si>
    <t>Se continua corte mecánico y descapote con equipo sobre orugas. Se trata de cortes térreos que se realizan con excavadoras CAT 330 D2L. Hay taludes con pendiente única y otro con 2 pendientes y berma intermedia. El material se lleva a San Nicolás. Cuando se termine el corte, se conectara con el acceso a Guaimaral (falso túnel). Lluvias afectan trabajos.</t>
  </si>
  <si>
    <t xml:space="preserve">a) Sigue evidencia de fallo sobre el costado derecho (con perdida de banca), por acción de las aguas del Rio Cuaca. Se encuentran las ODT´s # 162 y 163, con tubos Titan x 1500 mm. Pero el brazo del Rio Cauca arremete sobre este costado y los tubos Titan de las ODTs siguen su cabeceo. Sigue el agrietamiento con retroceso de su asentamiento. 
Hacia el PK menor o K 30+790 (box # 157), se tienen construidos 2 muros (de 28 MPa) en HA acompañantes uno a cada lado del descole del Box (de 6 m.  x 4.5 m y 28 MPa). Se impermeabilizaron los concretos con el paramento en contacto con tierras (pintura negra bituminosa), se le agregan laminas de lamidren que actúan como drenaje vertical y se protege la impermeabilización de los muros. Se le realizo la construcción de sus filtros laterales (geotextil + piedra filtro + tubo ranurado). Después de un tiempo de inactividad, se continua el extendido de los llenos mecánicos compactados con Hamm. Sector Tierra Mítica.
b) Sobre la calzada opuesta (o PK 31+260/680 - CI) se sigue realizando el corte mecánico con CAT 320 D2 + volquetas, (con un nuevo trazado) a fin de alejar parte del corredor vial del cauce del Rio Cauca. También realiza la consolidación inmediata de la cara superior perfilada del talud con perforaciones, para colocar pernos pasivos (#10 de L= 3 y 9 m.), drenes en PVC (2.5") y concreto lanzado sobre paneles de malla electrosoldada (15x15x6 mm). El primer tramo del talud tuvo dos (2) fases de excavación y perfilado, con una berma intermedia. Este proceso de protección del talud se repite en dos frentes de obra vecinos (ej. el talud intermedio su cara perfilada será con única pendiente). En ocasiones se trabaja con personal suspendido. La excavación sobre la plataforma vial se empieza a generar por debajo de la superficie de la rasante proyectada para mejorar la fundación del paquete de pavimento flexible y se opta por colocar piedra rajón. Se realizo la construcción de nueva ODT # 159 x 900 mm acampanada con tubería Titan tipo C-III. Se han colocado los granulares correspondiente a la estructura del pavimento flexible. Hacia el PK menor se inicia la separación de calzadas (vieja / nueva - exactamente sobre la entrada principal del conjunto Tierra Mítica) y se realiza su saneo agregando material de rezaga. Sobre la montaña mas alta se continua la perforación de la corona destapada y perfilada (cara libre) para la colocación de pernos pasivos de anclaje, con L = 12 m. Otros equipos que se encuentran trabajando son: pajarita JCB + vibro Hamm + motoconformadora CAT 140 K. Lluvias afectan trabajos. Con el traslado del nuevo trazado se abandona el sitio de movimiento en masa presentado el año pasado. El transito automotor circula por la calzada existente. Se trabaja con personal PARE / SIGA. Sector Tierra Mítica. </t>
  </si>
  <si>
    <t xml:space="preserve">Después de los cortes mecánicos, eliminación de vegetación, matorral y descapotes, se inicia la construcción de ODT # 164 x 1500 mm. que verterá sus aguas directamente al Rio Cauca. Se inician los llenos traídos de Tierra Mítica y se extienden con motoniveladora CAT 140 M y se compactan vibro Hamm. También se adicionaron granulares y a un corto tramo del ramal se coloco la capa asfáltica tipo MSC-25. Se realizaron ensayos de campo (con equipo nuclear). Se realizaron excavaciones mecánicas con CAT 416 F, para el tendido subterráneo de redes ITS. El tramo se interviene hasta las proximidades del estribo # 1 del nuevo puente sobre el Rio Cauca. Hay chequeos y controles topográficos </t>
  </si>
  <si>
    <t>Continua actividad de corte mecánico y retiro de material, hacia el estribo. Hay excavación para la construcción de dalas de cimentación del muro en TA, se trabaja con CAT 320D2 + pajarita y vibro tipo benitín. Se realizo un saneo de la fundación colocando piedra tipo rajón. Por lo tanto se continua con la colocación de formaletería para fundir (en concreto) las dalas o soleras de nivelación escalonadas, con un ancho de 50 cm. Sobre el PK cercano al estribo se reinstalara tubería recta de 1500 mm para ODT (se le baja la cota de cimentación) que atravesara perpendicularmente los muros en escamas o TA. Se termina la colocación de colchón filtrante + la colocación de las capas de granulares clasificadas en forma secuencial y los filtros interiores y exteriores con tubería perforada para la captación de las aguas captadas y evitar la saturación del terraplén. Se coloca las filas de escamas prefabricadas (o dovelas de hormigón de 35 MPa) por sus dos costados y se utiliza cinta polimérica FS30 y FS50 para su tensionamiento y fijación e intercaladas entre capas de relleno de material seleccionado; hay compactador tipo benitín y rana. La longitud del muro tendrá 180 m y alturas variables entre 9 y 3 m., con ancho de calzada de 12 m y este se conectara desde el estribo hasta la rotonda o glorieta de la vía Bolombolo. Hay continuos chequeos y trabajos topográficos. Hay un gran acopio de material de rellenos procesados y clasificados (para estructuras, muros y respaldos) sobre un lote anexo a la vía a Bolombolo. Lluvias afectan trabajos. El acceso a este frente de obra solo se realiza por la vía Santafé - Anzá - Bolombolo.</t>
  </si>
  <si>
    <t>a) Inactivo. Finaliza actividad de la construcción de filtros laterales.  
Se realizo actividad de instalación y extensión de material de sub base granular, por el método de cereo, se realiza imprimación de granulares y se instala mezcla asfáltica tipo MSC-25. Sobre el separador central hay instalación de redes ITS.
En un tramo lateral se construyen las cunetas en concreto con sección en L. 
Finaliza la construcción de el descole de ODT # 085. Sector urbano de San Jerónimo, frente al conjunto residencial Paraíso del Sol y Piñón del Rio .
b) Sobre el PK 20+380 CD (muro en HA  # 109 - en 3 módulos separados). Terminado en concreto reforzado el dado o zapata (en forma de escuadra) del modulo # 3 se procede a la colocación de los hierros del vástago, que tendrá una altura de por lo menos 7 m., similar a las pilas del estribo #1 del nuevo puente, hay también colocación de formaletería en sentido vertical. Sus aceros principales son # 10. Pajarita CAT 416F realizo limpieza y se procedió a fundir un solado en concreto pobre para el armado de la zapata del modulo # 1. Posteriormente armado el acero se realizo la fundida de la zapata. La obra se encuentra ubicada frente al conjunto residencial Paraíso del Sol y Piñón del Rio .</t>
  </si>
  <si>
    <t>a) Inactivo. El talud "rocoso" sobre la vía opuesta a este frente de obra (o PK 19+400 CI), continuara instalación de mallas + cables, y su asegurada con piquetes de acero + platinas / tuercas y algunos anclajes activos compuestos por sartas de 3 torones. El sostenimiento de posibles rocas propensas a caer se previene utilizando la malla + cables de acero + más puntos de intersección asegurados con platinas y tuercas. Hubo desprendimiento interno de rocas y la malla fue rota y desprendida.  
b) Sobre la calzada CI, (o existente o PK 19+440) se termino el fresado y se entra en el desmantelamiento del tablero del puente para ampliación. Se levanto una tubería Titan de una ODT x 900 mm. para hacer un alargue a un box culvert (1.7 x 1.7 m). Realizado el fundido de los muros verticales se procedió a la colocación de la formaleta y el acero para realizar su fundida. Esta pendiente el armado de los aceros de las 2 placas de aproximación.  Dentro del sobreancho de la vía se trabaja en excavaciones para las redes ITS, por lo tanto se prepara su terreno con excavación, adición de suelo mejorado y compactación. Sector Politécnico.</t>
  </si>
  <si>
    <t xml:space="preserve">Se continua el fresado de la calzada (der. bajando desde el peaje hacia Medellín), ubicada en el sector de San Cristóbal.  Por lo tanto se realiza un fresado por franjas o por lotes utilizando el equipo SANY C8 que tiene un rodillo con un ancho de molido de hasta 1 m. Los granulares se encuentran a una profundidad entre 16 y 18 cm. En general se realiza un fresado general de calzada de hasta e= 7 cm. desde el bordillo del separador central hasta la cuneta del borde opuesto. Cuando la calzada a rehabilitar tiene fallos, agrietamientos profundos o muestra signos de inestabilidad se le realiza bacheo con adición de granulares vírgenes. Para la ejecución de los trabajos, se tiene que habilitar un tramo de la calzada opuesta o gemela para el tráfico vehicular con 2 sentidos de circulación. También se da la oportunidad al transito de circular un carril de la calzada intervenida por fresados. Los tramos ya intervenidos se les aplica un riego total de emulsión asfáltica y se procede a extender la capa intermedia de mezcla asfáltica tipo MSC-25. El material de fresado (o RAP) se lleva al un acopio temporal de PR 46+800. El transito es controlado mediante desvío para que utilice la calzada opuesta (en 2 sentidos de circulación) pero también se da la oportunidad de utilizar un carril sobre la calzada en intervención. En todo caso este es guiado y separado por cintas y delineadores tubulares, luces, conos y maletines. Se cuenta con personal PARE/SIGA. </t>
  </si>
  <si>
    <t xml:space="preserve">Se encuentra totalmente montada la estructura metálica (pórtico como estructura de cubierta definitiva) de la zona o playa de peajes. La cubierta general (con Long= 18.5 m x Ancho= 36.5m), se encuentra cubriendo las 8 islas. La carpa provisional sigue en pie y protegiendo las actuales casetas de cobro.    
Sobre la plataforma o playa (que cuenta con 7 islas y 8 carriles de circulación) están por finalizar los trabajos relacionados con la disposición de redes de telecomunicaciones, con la construcción de sus cajas de inspección, de derivación y de distribución y el tapado de tuberías, con material seleccionado. 
Se construyeron las casetas o garitas de cobro (2 casetas por isla). Sobre la parte superior del muro de la caseta, se colocaron y ensamblaron perfiles metálicos (tipo Acesco), para que sirva como moldura y cerramiento superior de cada garita. Dentro de las garitas se construyeron mesones en concreto y sobre las paredes hay canaletas (porta cables) para tender redes eléctricas, de voz y de datos. Hubo colocación de ventanería con vidrios corredizos de seguridad. Como dispositivos separadores de trafico, se fundieron (sobre el vértice "inicial" de cada isla) muretes en concreto hidráulico tipo media luna. Hay corte de placas de pavimento rígido para la instalación de dispositivos de conteo de ejes vehiculares. Hay trabajos de limpieza, de aseo y de acabados; con retiro de objetos no incorporados a las obras de las casetas a fin de tener una buena presentación final. Se encuentra en servicio y en dos (2) colas por cada sentido el pago electrónico FLYPASS. 
Anexo al peaje se realiza corte mecánico (con CAT 330 D2L) a fin de acceder con otra calzada en dirección hacia las oficinas provisionales de contenedores, sobre el costado izquierdo. </t>
  </si>
  <si>
    <t xml:space="preserve"> El tramo ya cuenta con capa asfáltica en caliente tipo MSC-25. Terminados los cortes de carpeta asfáltica (con disco diamantado) se inicia la colocación de sardineles prefabricados para delimitar el separador central entre calzadas. Estos módulos tienen una altura estándar de 45 cm. Se trabaja con pajarita CAT 416F. en la excavación sobre el cabezote del encole de la ODT # 003 para la construcción de un muro de gaviones. Este muro flexible tendrá un espaldar de h= 4m de altura, utilizando mallas triple torsión 2x1x1 m., piedra de rio y geotextil NT. Están dispuestos en tizón / punta. Hay trabajos pendientes de acabados y de drenajes con colocación de material sobre el separador central. Todo el transito automotor circula por la nueva calzada.  </t>
  </si>
  <si>
    <t>PK 12+700 CI. Sobre los costados del box (# 057) y una vez realizada la construcción de los filtros laterales; se realiza la colocación de llenos compactados, trabaja un bulldozer CAT D6T. Sector Hostería Las Grutas</t>
  </si>
  <si>
    <t>PK 4+500 CD. Sobre el talud de la vía existente, hay colocación de pernos pasivos (autoperforantes # 10) con longitud entre L = 9 y 6 m. También hay colocación de drenes en PVC de D= 2.5". El trabajo de perforación lo realiza un equipo Komatsu sobre orugas.</t>
  </si>
  <si>
    <t>PK 10+200 CI. Personal con ayuda de compresor y martillos neumáticos, realiza perforaciones verticales a fin de hacer la malla para la voladura del banco rocoso, utilizando productos químicos controlados. Sector Piedra Negra.</t>
  </si>
  <si>
    <t>PK 8+400 CD. Continua actividad de corte mecánico y retiro de material en la parte media alta y media, con el uso de 2 CATs. En otro nivel superior hay perforación para anclajes + instalación de malla electrosoldada, se tienen 2 perforadoras activas. Sector La Rochela</t>
  </si>
  <si>
    <t>PK 28+200 CD. Hay actividad de movimiento de material de desmonte y de excavación mecánica. El bulldozer CAT D6T es apoyado con excavadoras CAT 312 C y 330 D2L. Hay control topográfico. Lluvias afectan trabajos. Sector La Puerta - Carnelly</t>
  </si>
  <si>
    <t>PK 31+300 CI. Continua después de un perfilado de la corona del talud, la perforación de huecos para colocar pernos pasivos de L= 12 m (flecha). El trabajo de excavación mecánica se realiza por bataches. Sector Tierra Mítica, zona de contingencia</t>
  </si>
  <si>
    <t>PK 33+500 CI. Mediante el uso de una grúa (con brazo telescópico) se realiza el izado de la formaletería para encofrar las dalas de un tamo de muro en TA. Sector aproche # 2 del nuevo puente sobre el Rio Cauca.</t>
  </si>
  <si>
    <t>PK 20+380 CD Muro en HA # 109. Se ilustra la preparación de la zapata (del modulo # 1), para ser fundida con concreto premezclado de 28 MPa. Hay preparaciones por parte del personal para el vertido del concreto, consolidación y vibrado. Sector Paraíso del Sol</t>
  </si>
  <si>
    <t>PR 45+500 a PR 45+600 CD - Trabajos de rehabilitación, de la doble calzada. Mediante el uso de bobcat, se adiciona y extienden granulares vírgenes sobre un cajeo (por bacheo) selectivo. Sector San Cristóbal</t>
  </si>
  <si>
    <t xml:space="preserve">PR 45+250 CI. Trabajos de mejoramiento, doble calzada. Luego de realizar la imprimación de granulares con emulsión asfáltica (de curado lento) se procede a la extensión de la mezcla en caliente tipo MSC-25. Se utiliza el tren de pavimentación Dynapac. </t>
  </si>
  <si>
    <t>PK 0+060 Playa de peajes. Se realizan retoques y arreglos en acabados a fin de culminar los trabajos relacionados con las casetas o garitas de peaje. Se ilustra el interior de un murete en concreto</t>
  </si>
  <si>
    <t>PK 0+613 CI. Se realiza la construcción de un muro de gaviones, detrás del cabezote del encole de la ODT # 003. Se utiliza malla triple torsión +  piedra de rio + geotextil NT. Su espaldar contara con 4 m. de altura.</t>
  </si>
  <si>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rFont val="Arial"/>
        <family val="2"/>
      </rPr>
      <t>. PILA 1: Caisson 3 h=26m, Caisson 4 h=31,2m.  PiILA 2: Caisson 5 h=26m, Caisson 6 h=32m . PILA 3: Caisson 7 h=18,1m, Caisson 8 h=15,5m. PILA 4: Caisson 9 h=16m, Caisson 10 h=18,6m. PILA 5: Caisson 11 h=20,5m, Caisson 12 h=21m.  ESTRIBO 2: Caisson 13 h=17m,  Caisson 14 h=17,5m.
El avance en excavación y construcción de anillos es del 104,6%.</t>
    </r>
    <r>
      <rPr>
        <sz val="11"/>
        <color theme="1"/>
        <rFont val="Arial"/>
        <family val="2"/>
      </rPr>
      <t xml:space="preserve">
</t>
    </r>
    <r>
      <rPr>
        <u/>
        <sz val="11"/>
        <color theme="1"/>
        <rFont val="Arial"/>
        <family val="2"/>
      </rPr>
      <t xml:space="preserve">INFRAESTRUCTURA
</t>
    </r>
    <r>
      <rPr>
        <sz val="11"/>
        <color theme="1"/>
        <rFont val="Arial"/>
        <family val="2"/>
      </rPr>
      <t>ESTRIBO 1: Se funde el núcleo de los Caissons 1 y 2.</t>
    </r>
    <r>
      <rPr>
        <sz val="11"/>
        <color rgb="FFFF0000"/>
        <rFont val="Arial"/>
        <family val="2"/>
      </rPr>
      <t xml:space="preserve"> </t>
    </r>
    <r>
      <rPr>
        <sz val="11"/>
        <rFont val="Arial"/>
        <family val="2"/>
      </rPr>
      <t>Se instala solado, acero de refuerzo  y encofrado y se funde Viga Cabezal , tramos 1 y 2 del cuerpo del Estribo, topes sísmicos y pedestales, aletas y muros laterales</t>
    </r>
    <r>
      <rPr>
        <sz val="11"/>
        <color rgb="FFFF0000"/>
        <rFont val="Arial"/>
        <family val="2"/>
      </rPr>
      <t>.</t>
    </r>
    <r>
      <rPr>
        <sz val="11"/>
        <rFont val="Arial"/>
        <family val="2"/>
      </rPr>
      <t xml:space="preserve"> Se instala acero de refuerzo y se funde losa de aproximación  Estribo 1.
PILA 1: Instalación acero de refuerzo núcleo Caisson  3 y 4 y se funden</t>
    </r>
    <r>
      <rPr>
        <sz val="11"/>
        <color rgb="FFFF0000"/>
        <rFont val="Arial"/>
        <family val="2"/>
      </rPr>
      <t>.</t>
    </r>
    <r>
      <rPr>
        <sz val="11"/>
        <rFont val="Arial"/>
        <family val="2"/>
      </rPr>
      <t xml:space="preserve"> Adecuación área Viga Cabezal. Instalación andamios de carga, plataforma, acero de refuerzo Viga Cabezal, topes sísmicos, pedestales y ductos para cables de tensionamiento. Se funde Viga Cabezal y se instalan cables 1, 2, 3, 4 y 5  y se tensionan.
</t>
    </r>
    <r>
      <rPr>
        <sz val="11"/>
        <color rgb="FFFF0000"/>
        <rFont val="Arial"/>
        <family val="2"/>
      </rPr>
      <t>Se construye muro de protección en concreto reforzado para la Pila 1, costado derecho contra vía existente. L=9,5 m  H=3,0 m. Se funde solado y se instala acero de refuerzo zapata y vástago de muro.</t>
    </r>
    <r>
      <rPr>
        <sz val="11"/>
        <rFont val="Arial"/>
        <family val="2"/>
      </rPr>
      <t xml:space="preserve">
PILA 2: Instalación acero de refuerzo  núcleos Caissons 5 y 6 y se funden. Excavación mecánica  adecuación área construcción Viga Cabezal. Se instala solado.Instalación andamios de carga, plataforma, acero de refuerzo, encofrado Viga Cabezal y se funde con topes sísmicos y pedestales. Instalación de 5 ductos y cables para tensionamiento. Se tensionan cables.
PILA 3: Instalación acero de refuerzo núcleos  Caissons 7 y 8. y se funden. Se instala acero de refuerzo y encofrado y se funden columnas a nivel de Viga cabezal. Insntalación de plataforma e instalación acero de refuerzo Viga Cabezal y se funde.
PILA 4: Instalación acero de refuerzo núcleos Caissons 9 y 10 y se funden. Se instala acero de refuerzo y encofrado y se funde columna 10. Instalacion de plataforma y acero de refuerzo para Viga Cabezal y se funde con topes sísmicos y pedestales.</t>
    </r>
    <r>
      <rPr>
        <sz val="11"/>
        <color rgb="FFFF0000"/>
        <rFont val="Arial"/>
        <family val="2"/>
      </rPr>
      <t xml:space="preserve">
</t>
    </r>
    <r>
      <rPr>
        <sz val="11"/>
        <rFont val="Arial"/>
        <family val="2"/>
      </rPr>
      <t xml:space="preserve">PILA 5: Instalación acero de refuerzo núcleos Caisson 11 y 12 y se funden. Instalación acero de refuerzo Viga Cabezal, topes sísmicos y pedestales y se funden. </t>
    </r>
    <r>
      <rPr>
        <sz val="11"/>
        <color rgb="FFFF0000"/>
        <rFont val="Arial"/>
        <family val="2"/>
      </rPr>
      <t xml:space="preserve">
</t>
    </r>
    <r>
      <rPr>
        <sz val="11"/>
        <rFont val="Arial"/>
        <family val="2"/>
      </rPr>
      <t>ESTRIBO 2: Instalación acero de refuerzo y se funden núcleos Caissons 13 y 14.</t>
    </r>
    <r>
      <rPr>
        <sz val="11"/>
        <color rgb="FFFF0000"/>
        <rFont val="Arial"/>
        <family val="2"/>
      </rPr>
      <t xml:space="preserve"> Adecuación área para construcción de Estribo. Se funde solado. Instalación acero de refuerzo Viga Cabezal, muro espladar y lateral. Se funde Viga Cabezal, topes sísmicos y pedestales, y aletas integradas.</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</si>
  <si>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ESTRIBO 1: Se funden núcleos de Caisson 1 y 2. Adecuación de área para construcción de Estribo.</t>
    </r>
    <r>
      <rPr>
        <sz val="11"/>
        <rFont val="Arial"/>
        <family val="2"/>
      </rPr>
      <t xml:space="preserve"> Adecuación área para construcción de Estribo. Se funde losa de apoyo andamios de carga.Se instala plataforma y acero de refuerzo, encofrado Viga cabezal y se funde.  </t>
    </r>
    <r>
      <rPr>
        <sz val="11"/>
        <color rgb="FFFF0000"/>
        <rFont val="Arial"/>
        <family val="2"/>
      </rPr>
      <t>Se realiza excavación mecánica para construcción Estribo 1' y losa complementaria.</t>
    </r>
    <r>
      <rPr>
        <sz val="11"/>
        <color theme="1"/>
        <rFont val="Arial"/>
        <family val="2"/>
      </rPr>
      <t xml:space="preserve">
</t>
    </r>
    <r>
      <rPr>
        <sz val="11"/>
        <rFont val="Arial"/>
        <family val="2"/>
      </rPr>
      <t>PILA 1: Instalación acero de refuerzo núcleos Caissons 3, 4, 5  y 6 se funden.</t>
    </r>
    <r>
      <rPr>
        <sz val="11"/>
        <color rgb="FFFF0000"/>
        <rFont val="Arial"/>
        <family val="2"/>
      </rPr>
      <t xml:space="preserve"> </t>
    </r>
    <r>
      <rPr>
        <sz val="11"/>
        <rFont val="Arial"/>
        <family val="2"/>
      </rPr>
      <t>Se termina la la elevación de las columnas de los Caissons a nivel de construcción del Dado. Se tienen que demoler aproximadamente 4m de altura de columnas de Caisson por carencia de 12 N°10 en cada Caissons. Para los Caissons 3, 4, 5 y 6 se perforan 4m se instalan las varillas y se anclan con iyección de lechada y se realiza el realce de las columnas de estos Caissons a nivel de construcción del Dado. Se instalan Vigas metálicas y prefabricados plataforma para Dado. Se instala acero de refuerzo y encofrado Dado y se funde. Se instala acero de refuerzo y encofrado Columna maciza de 6x3x8 y se funde tercer tramo. Instalación acero de refuerzo y encofrado de columnas rectangulares A y B. Se funde el último tramo.</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t>
    </r>
    <r>
      <rPr>
        <sz val="11"/>
        <rFont val="Arial"/>
        <family val="2"/>
      </rPr>
      <t>Instalación acero de refuerzo y encofrado pedestal.Se instalan dos aisladores sísmicos y barras dywidag, para anclaje de Dovela sobre Pila. Se funde pedestal y bloques en concreto</t>
    </r>
    <r>
      <rPr>
        <sz val="11"/>
        <color rgb="FFFF0000"/>
        <rFont val="Arial"/>
        <family val="2"/>
      </rPr>
      <t>.</t>
    </r>
    <r>
      <rPr>
        <sz val="11"/>
        <rFont val="Arial"/>
        <family val="2"/>
      </rPr>
      <t xml:space="preserve"> </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t>
    </r>
    <r>
      <rPr>
        <sz val="11"/>
        <rFont val="Arial"/>
        <family val="2"/>
      </rPr>
      <t xml:space="preserve">. Por modificación en el diseño en el Estribo 2, se va ampliar el estribo, se contruye una losa complementaria y se construye Estribo 2', para empatar con el mruo en tierra armada. Se realiza demolición parcial de  muro espaldar del Estribo 2. se realizan perforaciones y anclaje de acero de refuerzo, encofrado y se funde.  </t>
    </r>
    <r>
      <rPr>
        <sz val="11"/>
        <color rgb="FFFF0000"/>
        <rFont val="Arial"/>
        <family val="2"/>
      </rPr>
      <t>Para el Estribo 2', se instala acero de refuerzo de la Viga Cabezal  y del muro espaldar y se funden. Instalación plataforma y acero de refuerzo losa complementaria y se funde.</t>
    </r>
    <r>
      <rPr>
        <sz val="11"/>
        <color theme="1"/>
        <rFont val="Arial"/>
        <family val="2"/>
      </rPr>
      <t xml:space="preserve">
</t>
    </r>
    <r>
      <rPr>
        <u/>
        <sz val="11"/>
        <color theme="1"/>
        <rFont val="Arial"/>
        <family val="2"/>
      </rPr>
      <t xml:space="preserve">SUPERESTRUCTURA
</t>
    </r>
    <r>
      <rPr>
        <sz val="11"/>
        <color theme="1"/>
        <rFont val="Arial"/>
        <family val="2"/>
      </rPr>
      <t xml:space="preserve">PILA 1: </t>
    </r>
    <r>
      <rPr>
        <sz val="11"/>
        <color rgb="FFFF0000"/>
        <rFont val="Arial"/>
        <family val="2"/>
      </rPr>
      <t xml:space="preserve"> Se instala plataforma para losa superior Dovela sobre Pila y Dovelas N°1, se instala acero de refuerzo de losa inferior, muros y losa superior y se funden. Montaje carro de avance para construir Dovelas N°2 ., se instala acero de refuerzo, ductos  y se funden los voladizos 1 , 2 , 3, 4 y 5.  Se tensionan cables</t>
    </r>
    <r>
      <rPr>
        <u/>
        <sz val="11"/>
        <color theme="1"/>
        <rFont val="Arial"/>
        <family val="2"/>
      </rPr>
      <t xml:space="preserve">
</t>
    </r>
    <r>
      <rPr>
        <sz val="11"/>
        <rFont val="Arial"/>
        <family val="2"/>
      </rPr>
      <t>PILA 2:</t>
    </r>
    <r>
      <rPr>
        <u/>
        <sz val="11"/>
        <rFont val="Arial"/>
        <family val="2"/>
      </rPr>
      <t xml:space="preserve"> I</t>
    </r>
    <r>
      <rPr>
        <sz val="11"/>
        <rFont val="Arial"/>
        <family val="2"/>
      </rPr>
      <t>nstal</t>
    </r>
    <r>
      <rPr>
        <sz val="11"/>
        <color theme="1"/>
        <rFont val="Arial"/>
        <family val="2"/>
      </rPr>
      <t>ación de plataforma para construcción de dovela sobre Pila y dovelas N°1 en voladizos 3 y 4. Se instala acero de refuerzo y encofrado en la losa inferior y muros y se funden. Se instala acero de refuerzo de la losa superior y se funde, se tensionan cables</t>
    </r>
    <r>
      <rPr>
        <sz val="11"/>
        <color rgb="FFFF0000"/>
        <rFont val="Arial"/>
        <family val="2"/>
      </rPr>
      <t>.</t>
    </r>
    <r>
      <rPr>
        <sz val="11"/>
        <rFont val="Arial"/>
        <family val="2"/>
      </rPr>
      <t xml:space="preserve">Instalacion carros de avance voladizos 3 y 4  para construir Dovelas 2, 3, 4 , 5 , 6, 7, 8, 9 y 10; se instala acero de refuerzo , ductos , se funden, se tensionan cables. </t>
    </r>
    <r>
      <rPr>
        <sz val="11"/>
        <color rgb="FFFF0000"/>
        <rFont val="Arial"/>
        <family val="2"/>
      </rPr>
      <t xml:space="preserve">
</t>
    </r>
    <r>
      <rPr>
        <sz val="11"/>
        <rFont val="Arial"/>
        <family val="2"/>
      </rPr>
      <t>ESTRIBO 2: Instalación de aisladores sísmicos,  acero de refuerzo y encofrado Dovela sobre Estribo y se funde con los topes sísmicos.</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</si>
  <si>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sz val="11"/>
        <rFont val="Arial"/>
        <family val="2"/>
      </rPr>
      <t xml:space="preserve"> Instalación acero de refuerzo Dovela sobre Estribo. Se funde con topes sísmicos y losa superior. </t>
    </r>
    <r>
      <rPr>
        <sz val="11"/>
        <color rgb="FFFF0000"/>
        <rFont val="Arial"/>
        <family val="2"/>
      </rPr>
      <t>Construcción muro complementario costado izquierdo, se instala acero de refuerzo, encofrado para zapatas y vástagos en módulos1, 2, 3, 4, 5 y 6  y se funden.</t>
    </r>
    <r>
      <rPr>
        <u/>
        <sz val="11"/>
        <color theme="1"/>
        <rFont val="Arial"/>
        <family val="2"/>
      </rPr>
      <t xml:space="preserve">
</t>
    </r>
    <r>
      <rPr>
        <sz val="11"/>
        <color theme="1"/>
        <rFont val="Arial"/>
        <family val="2"/>
      </rPr>
      <t xml:space="preserve">ESTRIBO 2. Se funden los núcleos de los Caissons 11 y 12. Se instala concreto de solado para Viga Cabezal. </t>
    </r>
    <r>
      <rPr>
        <sz val="11"/>
        <rFont val="Arial"/>
        <family val="2"/>
      </rPr>
      <t>Se instala acero de refuerzo y encofrado para Viga Cabezal y se funde.</t>
    </r>
    <r>
      <rPr>
        <sz val="11"/>
        <color rgb="FFFF0000"/>
        <rFont val="Arial"/>
        <family val="2"/>
      </rPr>
      <t xml:space="preserve"> </t>
    </r>
    <r>
      <rPr>
        <sz val="11"/>
        <rFont val="Arial"/>
        <family val="2"/>
      </rPr>
      <t>Instalación acero de refuerzo fase 1 y 2 Dovela sobre estribo y se funden. Se instala acero de refuerzo y encofrado muro espaldar y aletas costado izquierdo y derecho y se funden.. Se funde losa aproximación Estribo 2.
PILA 1: Se funden núcleos de Caisson 3, 4, 5 y 6.Se instala acero de refuerzo y encofrado elevación de estas Columnas a nivel de Dado y se funden. Instalación de plataforma  y acero de refuerzo para el  Dado y se funde. Instalación acero de refuerzo y encofrado de columnas rectangulares y se funden a nivel de construcción de las Dovelas.</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t>
    </r>
    <r>
      <rPr>
        <sz val="11"/>
        <color rgb="FFFF0000"/>
        <rFont val="Arial"/>
        <family val="2"/>
      </rPr>
      <t xml:space="preserve">
</t>
    </r>
    <r>
      <rPr>
        <u/>
        <sz val="11"/>
        <rFont val="Arial"/>
        <family val="2"/>
      </rPr>
      <t xml:space="preserve">SUPERESTRUCTURA
</t>
    </r>
    <r>
      <rPr>
        <sz val="11"/>
        <rFont val="Arial"/>
        <family val="2"/>
      </rPr>
      <t>PILA 1:</t>
    </r>
    <r>
      <rPr>
        <sz val="11"/>
        <color rgb="FFFF0000"/>
        <rFont val="Arial"/>
        <family val="2"/>
      </rPr>
      <t xml:space="preserve">  </t>
    </r>
    <r>
      <rPr>
        <sz val="11"/>
        <rFont val="Arial"/>
        <family val="2"/>
      </rPr>
      <t>Instalación de plataforma para construcción  de losa superior de conexión a Dovela sobre Pila; se instala acero de refuerzo y se funde. Se tensionan cables. Se instala plataforma  y acero de refuerzo para Dovela sobre Pila y Dovelas N°1. Se funde losa inferior, muros y losa superior. Montaje carros de avance para construir Dovelas N°2 , 3, 4, 5, 6, 7 y 8 voladizos1 y 2. Se instala acero de refuerzo, ductos, se funden y se tensionan cables. Se desplaza carro de avance para construir Dovela de cierre en voladizos 2 y 3, se instala acero de refuerzo y se funde. Seinstalan cables de continuidad y se tensionan.</t>
    </r>
    <r>
      <rPr>
        <sz val="11"/>
        <color rgb="FFFF0000"/>
        <rFont val="Arial"/>
        <family val="2"/>
      </rPr>
      <t xml:space="preserve">
</t>
    </r>
    <r>
      <rPr>
        <sz val="11"/>
        <rFont val="Arial"/>
        <family val="2"/>
      </rPr>
      <t>PILA 2: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 Instalación acero de refuerzo losa superior Dovela sobre Pila 2 y Dovelas 1 y se funde.Tensionamiento de cables Dovela N°1. Instalación de carros de avance para construcción de Dovelas N°2 , 3,  4,  5,  6 y 7 en voladizos 3 y 4. Se instala acero de refuerzo y encofrado y se funden. Se tensionan los cables de estas Dovelas.</t>
    </r>
    <r>
      <rPr>
        <sz val="11"/>
        <color rgb="FFFF0000"/>
        <rFont val="Arial"/>
        <family val="2"/>
      </rPr>
      <t xml:space="preserve"> </t>
    </r>
    <r>
      <rPr>
        <sz val="11"/>
        <rFont val="Arial"/>
        <family val="2"/>
      </rPr>
      <t>Dezplazamiento carros de avance para construcción de Dovelas N°8. Se instala acero de refuerzo y ductos para instalación de los cables. Se funden Dovelas y se tensionan cables. Instalación acero de refuerzo de módulos de New Jersey por ambos costados. Se instala encofrado y se funden  por el costado izquierdo y derecho. Se realizan acabados. Se realiza la demolición de bloques de concreto en las Pilas 1 y 2.</t>
    </r>
    <r>
      <rPr>
        <u/>
        <sz val="11"/>
        <rFont val="Arial"/>
        <family val="2"/>
      </rPr>
      <t xml:space="preserve">
</t>
    </r>
    <r>
      <rPr>
        <sz val="11"/>
        <color theme="1"/>
        <rFont val="Arial"/>
        <family val="2"/>
      </rPr>
      <t xml:space="preserve">
El avance en excavación y construcción de anillos es del 105,3,%</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</si>
  <si>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PILA 5.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PILA 1: Instalación acero de refuerzo de núcleos 4, 5 y 6 y se funden. Alzado de Columnas 4, 5 y 6 a nivel de Viga Cabezal.</t>
    </r>
    <r>
      <rPr>
        <sz val="11"/>
        <color rgb="FFFF0000"/>
        <rFont val="Arial"/>
        <family val="2"/>
      </rPr>
      <t xml:space="preserve"> </t>
    </r>
    <r>
      <rPr>
        <sz val="11"/>
        <rFont val="Arial"/>
        <family val="2"/>
      </rPr>
      <t>Instalación andamios de carga, plataforma, acero de refuerzo y encofrado Viga Cabezal y se funde con los pedestales y topes sísmicos ambas calzadas..</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t>
    </r>
    <r>
      <rPr>
        <sz val="11"/>
        <rFont val="Arial"/>
        <family val="2"/>
      </rPr>
      <t>Instalación acero de refuerzo y encofrado Dado y se funde</t>
    </r>
    <r>
      <rPr>
        <sz val="11"/>
        <color rgb="FFFF0000"/>
        <rFont val="Arial"/>
        <family val="2"/>
      </rPr>
      <t>.</t>
    </r>
    <r>
      <rPr>
        <sz val="11"/>
        <rFont val="Arial"/>
        <family val="2"/>
      </rPr>
      <t xml:space="preserve"> Instalación acero de refuerzo y encofrado tramo 5 Columna en H y se funde. Instalación andamios de carga, plataforma, acero de refuerzo y ductos para tensionamiento de cables Viga Cabezal</t>
    </r>
    <r>
      <rPr>
        <sz val="11"/>
        <color rgb="FFFF0000"/>
        <rFont val="Arial"/>
        <family val="2"/>
      </rPr>
      <t xml:space="preserve">. </t>
    </r>
    <r>
      <rPr>
        <sz val="11"/>
        <rFont val="Arial"/>
        <family val="2"/>
      </rPr>
      <t>Se funde Viga cabezal, pesetales y topes símicos. Se instalan cables y se tensionan.</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rFont val="Arial"/>
        <family val="2"/>
      </rPr>
      <t xml:space="preserve"> Instalación acero de refuerzo y encofrado Dado y se funde. Instalación acero de refuerzo y encofrado 7to. tramo de Columna en H y se funde</t>
    </r>
    <r>
      <rPr>
        <sz val="11"/>
        <color rgb="FFFF0000"/>
        <rFont val="Arial"/>
        <family val="2"/>
      </rPr>
      <t>.</t>
    </r>
    <r>
      <rPr>
        <sz val="11"/>
        <rFont val="Arial"/>
        <family val="2"/>
      </rPr>
      <t xml:space="preserve"> Instalación andamios de carga y plataforma para construir Viga Cabezal. Se instala acero de refuerzo, encofrado y se funde Viga Cabezal, se instalan los torones y se tensionan</t>
    </r>
    <r>
      <rPr>
        <sz val="11"/>
        <color rgb="FFFF0000"/>
        <rFont val="Arial"/>
        <family val="2"/>
      </rPr>
      <t>. I</t>
    </r>
    <r>
      <rPr>
        <sz val="11"/>
        <rFont val="Arial"/>
        <family val="2"/>
      </rPr>
      <t>nstalación acero de refuerzo de topes sísmicos y pedestales y se funden para ambas calzadas.</t>
    </r>
    <r>
      <rPr>
        <sz val="11"/>
        <color theme="1"/>
        <rFont val="Arial"/>
        <family val="2"/>
      </rPr>
      <t xml:space="preserve">
PILA 4: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
PILA 5: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t>
    </r>
    <r>
      <rPr>
        <sz val="11"/>
        <rFont val="Arial"/>
        <family val="2"/>
      </rPr>
      <t xml:space="preserve"> Por cambio de diseño para aumentar la luz del Puente en 30m, esta Pila correspondía al  ESTRIBO 2. Por este motivo el concesionario realizó la demolición del cuerpo del Estribo, topes sísmicos,  pedestales y demolición parcial de la Viga cabezal. Para esta Pila se funden dos (2) Caisson 28 y 29, adicionales. Se realiza la elevación del Caisson 29 a nivel de Viga Cabezal. Se instala acero de refuerzo ampliación Viga cabezal, perforando y anclando el acero inyectando producto Hilti. se realiza ensayo de tración. Encofrado ampliación Viga Cabezal y se funde. Instalación acero de refuerzo y encofrado de topes sísmicos y pedestales y se funden.</t>
    </r>
    <r>
      <rPr>
        <sz val="11"/>
        <color theme="1"/>
        <rFont val="Arial"/>
        <family val="2"/>
      </rPr>
      <t xml:space="preserve">
</t>
    </r>
    <r>
      <rPr>
        <sz val="11"/>
        <rFont val="Arial"/>
        <family val="2"/>
      </rPr>
      <t xml:space="preserve">ESTRIBO 2: Se funde el núcleo de los Caissons 30, 31 y 32. Se instala solado. Se instala acero de refuerzo y encofrado Viga Cabezal , topes sísmicos y pedestales y se funden para la calzada izquierda . Se instala acero de refuerzo y encofrado aletas, muro espaldar y se funden para la calzada izquierda. Se funde losa de aproximación para la calzada izquierda.
</t>
    </r>
    <r>
      <rPr>
        <u/>
        <sz val="11"/>
        <rFont val="Arial"/>
        <family val="2"/>
      </rPr>
      <t xml:space="preserve">SUPERESTRUCTURA
</t>
    </r>
    <r>
      <rPr>
        <sz val="11"/>
        <rFont val="Arial"/>
        <family val="2"/>
      </rPr>
      <t>Instalación mortero de nivelación con Sika Grout sobre pedestales. Montaje del Equipo lanza-vigas.
VANOS 1 , 2, 3 ,4 y 5.  Instalación de Vigas prefabricadas sobre apoyos de neopreno en ambas calzadas, se funden Diafragmas, instalación de pre-losas, acero de refuerzo de las losas y se funden. Para el VANO 6 pra la calzada izquierda, se instalan vigas prefabricadas sobre apoyos de neopreno, se instalan pre-losas, acero de refuerzo de la losa y se funde; se construye Diafragma en el Estribo 2. Se instala plataforma y acero de refuerzo para voladizos vanos 1, 2 , 3, 4, 5 y 6 costado izquierdo y derecho y se funden para la calzada izquierda. En la calzada derecha se funden en vanos 1, 2, 3 ,4 y 5.  Se instala acero de refuerzo y encofrado para módulos de New Jersey en vanos 1, 2, 3,  4 5 y  6  y se funden para lacalzada izquierda. Se realizan acabados</t>
    </r>
    <r>
      <rPr>
        <sz val="11"/>
        <color rgb="FFFF0000"/>
        <rFont val="Arial"/>
        <family val="2"/>
      </rPr>
      <t>. Instalación acero de refuerzo y encofrado New Jersey  calzada derecha ambos costados; se funden módulos.</t>
    </r>
  </si>
  <si>
    <r>
      <rPr>
        <b/>
        <sz val="11"/>
        <color theme="1"/>
        <rFont val="Arial"/>
        <family val="2"/>
      </rPr>
      <t>PUENTE PK9+150 UF1:</t>
    </r>
    <r>
      <rPr>
        <sz val="11"/>
        <color theme="1"/>
        <rFont val="Arial"/>
        <family val="2"/>
      </rPr>
      <t xml:space="preserve"> El concesionario inicia la construcción de un nuevo Puente para una calzada en el mismo sitio del Puente PK9+160 y  dejó abandonadas las obras construidas en este sitio. Esta nueva obra la inicia el 6 de marzo  de 2020.
</t>
    </r>
    <r>
      <rPr>
        <u/>
        <sz val="11"/>
        <color theme="1"/>
        <rFont val="Arial"/>
        <family val="2"/>
      </rPr>
      <t>CONTROL DE EXCAVACIÓN</t>
    </r>
    <r>
      <rPr>
        <sz val="11"/>
        <color theme="1"/>
        <rFont val="Arial"/>
        <family val="2"/>
      </rPr>
      <t xml:space="preserve">
ESTRIBO 1. caisson 1 h=19,5m; caisson 2 h=19,5m 
PILA 1.  caisson 3 h=20m;  caisson 4 h=17,9m
PILA 2. caisson 5 h=21,5m; caisson 6 h=19,41m
PILA 3. caisson 7 h=23,85; caisson 8h=21,14m
ESTRIBO 2. caisson 9 h=17,4m  caisson 10 h=18m  
</t>
    </r>
    <r>
      <rPr>
        <u/>
        <sz val="11"/>
        <color theme="1"/>
        <rFont val="Arial"/>
        <family val="2"/>
      </rPr>
      <t>INFRAESTRUCTURA</t>
    </r>
    <r>
      <rPr>
        <sz val="11"/>
        <color theme="1"/>
        <rFont val="Arial"/>
        <family val="2"/>
      </rPr>
      <t xml:space="preserve">
ESTRIBO 1. Instalación de acero de refuerzo del núcleo Caisson 1 y  2  y se funden. </t>
    </r>
    <r>
      <rPr>
        <sz val="11"/>
        <rFont val="Arial"/>
        <family val="2"/>
      </rPr>
      <t>Se instala acero de refuerzo y encofrado Viga Cabezal, topes sísmicos y pedestales y cuerpo del Estribo y se funde. Se instala acero de refuerzo para losa de aproximación y se funde.
PILA 1: Se instala acero de refuerzo de núcleo de Caisson 3 y  4 y  se funden. Se realiza elevación de columna 4 y se funde. Instalación de plataforma  y acero de refuerzo y encofrado Viga Cabezal, topes sísmicos y pedestales y se funden.</t>
    </r>
    <r>
      <rPr>
        <sz val="11"/>
        <color theme="1"/>
        <rFont val="Arial"/>
        <family val="2"/>
      </rPr>
      <t xml:space="preserve">
</t>
    </r>
    <r>
      <rPr>
        <sz val="11"/>
        <rFont val="Arial"/>
        <family val="2"/>
      </rPr>
      <t>PILA 2. Se instala acero de refuerzo de núcleo de los Caissons 5 y 6 y se funden.</t>
    </r>
    <r>
      <rPr>
        <sz val="11"/>
        <color rgb="FFFF0000"/>
        <rFont val="Arial"/>
        <family val="2"/>
      </rPr>
      <t xml:space="preserve"> </t>
    </r>
    <r>
      <rPr>
        <sz val="11"/>
        <rFont val="Arial"/>
        <family val="2"/>
      </rPr>
      <t>Se funde  elevación columna  5 y 6 a nivel de Viga cabezal. Se instala plataforma, acero de refuerzo  Viga Cabezal, topes sísmicos y pedestales y se funden.</t>
    </r>
    <r>
      <rPr>
        <sz val="11"/>
        <color rgb="FFFF0000"/>
        <rFont val="Arial"/>
        <family val="2"/>
      </rPr>
      <t xml:space="preserve">
</t>
    </r>
    <r>
      <rPr>
        <sz val="11"/>
        <rFont val="Arial"/>
        <family val="2"/>
      </rPr>
      <t>PILA 3. Instalación acero de refuerzo núcleo Caissons 7 y 8 y se funden. Adecuación área para Viga Cabezal. se funde solado. Se instala acero de refuerzo y encofrado Viga Cabezal, topes sísmicos y pedestales y se funden.
ESTRIBO 2. Instalación acero de refuerzo de núcleos de Caissons 9 y 10 y se funden. Instalación acero de refuerzo y encofrado Viga cabezal, topes sísmicos, pedestales y cuerpo del Estribo y se funden  con las aletas integradas. Instalación acero de refuerzo losa de aproximación y se funde.</t>
    </r>
    <r>
      <rPr>
        <sz val="11"/>
        <color rgb="FFFF0000"/>
        <rFont val="Arial"/>
        <family val="2"/>
      </rPr>
      <t xml:space="preserve">
</t>
    </r>
    <r>
      <rPr>
        <u/>
        <sz val="11"/>
        <rFont val="Arial"/>
        <family val="2"/>
      </rPr>
      <t xml:space="preserve">INFRAESTRUCTURA
</t>
    </r>
    <r>
      <rPr>
        <sz val="11"/>
        <rFont val="Arial"/>
        <family val="2"/>
      </rPr>
      <t>Instalación de mortero de nivelación con Sika Grout sobre pedestales. Montaje del equipo lanza vigas.</t>
    </r>
    <r>
      <rPr>
        <u/>
        <sz val="11"/>
        <rFont val="Arial"/>
        <family val="2"/>
      </rPr>
      <t xml:space="preserve">
</t>
    </r>
    <r>
      <rPr>
        <sz val="11"/>
        <rFont val="Arial"/>
        <family val="2"/>
      </rPr>
      <t xml:space="preserve">Vanos 1 , 2, 3 y 4: Instalación de Vigas sobre apoyos de neopreno, construcción de diafragmas, instalación de pre-losas, acero de refuerzo de la losa y se funden.
Instalación de plataforma y acero de refuerzo para construcción de voladizos costado izquierdo y derecho y se. funden </t>
    </r>
    <r>
      <rPr>
        <sz val="11"/>
        <color rgb="FFFF0000"/>
        <rFont val="Arial"/>
        <family val="2"/>
      </rPr>
      <t>. Instalación acero de refuerzo y encofrado defensas tipo New Jersey por ambos costados; se funden y se realizan acabados..</t>
    </r>
  </si>
  <si>
    <r>
      <t xml:space="preserve">PUENTE PK9+400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10 de noviembre de 2020.
</t>
    </r>
    <r>
      <rPr>
        <u/>
        <sz val="11"/>
        <color rgb="FFFF0000"/>
        <rFont val="Arial"/>
        <family val="2"/>
      </rPr>
      <t>CONTROL DE EXCAVACIÓN</t>
    </r>
    <r>
      <rPr>
        <sz val="11"/>
        <color theme="1"/>
        <rFont val="Arial"/>
        <family val="2"/>
      </rPr>
      <t xml:space="preserve">
CALDADA IZQUIERDA:
ESTRIBO 1: Caisson 1  h=9m; Caisson 2 h=12m
PILA 1: Caisson 3 h=16,14m; Caisson 4 h=14m
 PILA 2. Caisson 5 h=18,5m; Caisson 6 h=17,7m 
                                         PILA 3. Caisson 7 h=21,1m;  Caisson 8 h=18,9m
                                        ESTRIBO 2.  Caisson 9 h=12,4m;  Caisson 10 h=12m
</t>
    </r>
    <r>
      <rPr>
        <u/>
        <sz val="11"/>
        <color rgb="FFFF0000"/>
        <rFont val="Arial"/>
        <family val="2"/>
      </rPr>
      <t xml:space="preserve">INFRAESTRUCTURA
</t>
    </r>
    <r>
      <rPr>
        <sz val="11"/>
        <rFont val="Arial"/>
        <family val="2"/>
      </rPr>
      <t xml:space="preserve">ESTRIBO 1: </t>
    </r>
    <r>
      <rPr>
        <sz val="11"/>
        <color rgb="FFFF0000"/>
        <rFont val="Arial"/>
        <family val="2"/>
      </rPr>
      <t>Se instala acero de refuerzo y se funden los núcleos de los Caisspns 1 y 2.</t>
    </r>
    <r>
      <rPr>
        <u/>
        <sz val="11"/>
        <color rgb="FFFF0000"/>
        <rFont val="Arial"/>
        <family val="2"/>
      </rPr>
      <t xml:space="preserve">
</t>
    </r>
    <r>
      <rPr>
        <sz val="11"/>
        <rFont val="Arial"/>
        <family val="2"/>
      </rPr>
      <t>ESTRIBO 2: Instalación acero de refuerzo y se funden núcleos de Caissons 9 y 10. Se instala solado y acero de refuerzo Viga Cabezal, topes sísmicos y pedestales y se funden. Instalación acero de refuerzo y encofrado muro espaldar  y se funde. Instalación acero de refuerzo y encofrado aletas integradas y se funden.
PILA 1:</t>
    </r>
    <r>
      <rPr>
        <sz val="11"/>
        <color rgb="FFFF0000"/>
        <rFont val="Arial"/>
        <family val="2"/>
      </rPr>
      <t xml:space="preserve"> Instalación acero de refuerzo Caisson 3 y 4 y se funden núcleos.</t>
    </r>
    <r>
      <rPr>
        <sz val="11"/>
        <rFont val="Arial"/>
        <family val="2"/>
      </rPr>
      <t xml:space="preserve">
PILA 2: Instalación acero de refuerzo núcleos Caisson 5 y 6 y se funden. Instalación acero de refuerzo y encofrado elevación Columnas a nivel de Viga cabezal y se funden. Instalación andamios de carca y plataforma para Viga Cabezal.</t>
    </r>
    <r>
      <rPr>
        <sz val="11"/>
        <color rgb="FFFF0000"/>
        <rFont val="Arial"/>
        <family val="2"/>
      </rPr>
      <t xml:space="preserve"> Instalación acero de refuerzo y encofrado Viga cabezal y se funde.
</t>
    </r>
    <r>
      <rPr>
        <sz val="11"/>
        <rFont val="Arial"/>
        <family val="2"/>
      </rPr>
      <t>PILA 3: Instalación acero de refuerzo núcleo del Caisson 7 y 8 y se funden. Adecuación área para Viga Cabezal. Se funde solado</t>
    </r>
    <r>
      <rPr>
        <sz val="11"/>
        <color rgb="FFFF0000"/>
        <rFont val="Arial"/>
        <family val="2"/>
      </rPr>
      <t>. Instalación acero de refuerzo Viga Cabezal y se funde con topes sísmicos y pedestales.</t>
    </r>
  </si>
  <si>
    <r>
      <t xml:space="preserve">PUENTE PK9+800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12 de noviembre de 2020.
</t>
    </r>
    <r>
      <rPr>
        <u/>
        <sz val="11"/>
        <color rgb="FFFF0000"/>
        <rFont val="Arial"/>
        <family val="2"/>
      </rPr>
      <t>CONTROL DE EXCAVACIÓN</t>
    </r>
    <r>
      <rPr>
        <sz val="11"/>
        <color theme="1"/>
        <rFont val="Arial"/>
        <family val="2"/>
      </rPr>
      <t xml:space="preserve">
CALDADA IZQUIERDA
ESTRIBO 1: Caisson 1 h=2m  Caisson2 h=2m
 PILA 1. Caisson 3   h=22,2m;  Caisson 4  h=15m 
</t>
    </r>
    <r>
      <rPr>
        <u/>
        <sz val="11"/>
        <color rgb="FFFF0000"/>
        <rFont val="Arial"/>
        <family val="2"/>
      </rPr>
      <t xml:space="preserve">INFRAESTRUCTURA
</t>
    </r>
    <r>
      <rPr>
        <sz val="11"/>
        <rFont val="Arial"/>
        <family val="2"/>
      </rPr>
      <t xml:space="preserve">ESTRIBO 1: </t>
    </r>
    <r>
      <rPr>
        <sz val="11"/>
        <color rgb="FFFF0000"/>
        <rFont val="Arial"/>
        <family val="2"/>
      </rPr>
      <t>Excavación mecánica adecuación área construcción de Estribo. Se inicia excavación de Caissons.</t>
    </r>
    <r>
      <rPr>
        <u/>
        <sz val="11"/>
        <color rgb="FFFF0000"/>
        <rFont val="Arial"/>
        <family val="2"/>
      </rPr>
      <t xml:space="preserve">
</t>
    </r>
    <r>
      <rPr>
        <sz val="11"/>
        <rFont val="Arial"/>
        <family val="2"/>
      </rPr>
      <t xml:space="preserve">ESRIBO 2: Adecuaciones para construcción de Estribo. Se funde solado. Instalación acero de refuerzo construcción zapata y se funde con pedestales y topes sísmicos y muro espaldar. </t>
    </r>
    <r>
      <rPr>
        <sz val="11"/>
        <color rgb="FFFF0000"/>
        <rFont val="Arial"/>
        <family val="2"/>
      </rPr>
      <t>Instalación acero de refuerzo y encofrado aleta izquierda y se funde.</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</si>
  <si>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TERMINADA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a h=12m. Se instala plataforma, acero de refuerzo y se funde Viga Cabezal, con topes sísmicos y pedestales.
PILA 2: Fundida de Caisson 7, 8, 9 y 10.</t>
    </r>
    <r>
      <rPr>
        <sz val="11"/>
        <rFont val="Arial"/>
        <family val="2"/>
      </rPr>
      <t xml:space="preserve"> Excavación y adecuaciones para construcción de Dado. Se funde solado e instalación acero de refuerzo y encofrado Dado y se funde</t>
    </r>
    <r>
      <rPr>
        <sz val="11"/>
        <color rgb="FFFF0000"/>
        <rFont val="Arial"/>
        <family val="2"/>
      </rPr>
      <t>.</t>
    </r>
    <r>
      <rPr>
        <sz val="11"/>
        <rFont val="Arial"/>
        <family val="2"/>
      </rPr>
      <t xml:space="preserve"> Instalación acero de refuerzo y encofrado Columna en H y se funde a h=19m. Instalación andamios de carga, plataforma, acero de refuerzo, encofrado y se funde Viga Cabezal con los topes sísmicos y los pedestales.</t>
    </r>
    <r>
      <rPr>
        <sz val="11"/>
        <color theme="1"/>
        <rFont val="Arial"/>
        <family val="2"/>
      </rPr>
      <t xml:space="preserve">
PILA 3: Instalación acero de refuerzo y encofrado para el Dado y se funde. Se funde Columna en H hasta el nivel de Viga Cabezal a h=22m. Instalación andamios de carga, plataforma y acero de refuerzo Viga Cabezal y se funde con topes sísmicos y pedestales.
PILA 4: Instalación acero de refuerzo del dado y se funde e instalación acero de refuerzo del último tramo de Columna en H y se funde a h=29m.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a h=17m. Instalación de acero de refuerzo viga cabezal y se funde con topes sísmicos y pedestales.
ESTRIBO 2: Instalación de solado, acero de refuerzo y se funde  Viga Cabezal, con topes sísmicos y pedestales. Se instala acero de refuerzo del cuerpo del Estribo y aletas y se funde. </t>
    </r>
    <r>
      <rPr>
        <sz val="11"/>
        <rFont val="Arial"/>
        <family val="2"/>
      </rPr>
      <t xml:space="preserve">Instalación acero de refuerzo losa de aproximación Estribo 2 y se funde.
El Puente inicialmente se componía de 6 vanos y tenía una longitud de 190m. Por cambios en las condiciones del proyecto el concesionario añadió 3 vanos hacia PKmenores, con lo cual la longitud total del Puente será de 290,87m. El ESTRIBO 1 deberá ser modificado para dar continuidad a la estructura, por este motivo el concesionario  realiza la demolición del muro espaldar y demolición parcial de la  Viga cabezal hacia PK menores. Se realiza perforacion y anclaje acero de refuerzo, encofrado ampliación Viga Cabezal , topes sísmicos, pedestalesy se funden.
Se realizó la excavación de los Caissons de los nuevos vanos:
ESTRIBO 1A: Caisson 25 h=15m;  Caisson 26 h=16,4m
PILA 1A: Caisson 27 h=20,7m;  Caisson 28 h=19,5m
PILA 2A: Caisson 29 h=18m;  Caisson 30 </t>
    </r>
    <r>
      <rPr>
        <sz val="11"/>
        <color rgb="FFFF0000"/>
        <rFont val="Arial"/>
        <family val="2"/>
      </rPr>
      <t xml:space="preserve">
</t>
    </r>
    <r>
      <rPr>
        <sz val="11"/>
        <rFont val="Arial"/>
        <family val="2"/>
      </rPr>
      <t xml:space="preserve">ESTRIBO 1A: Se instala acero de refuerzo núcleos 25 y 26 y se funden . Se instala acero de refuerzo y encofrado elevación columnas Caissons y de funden a nivel de Viga cabezal. </t>
    </r>
    <r>
      <rPr>
        <sz val="11"/>
        <color rgb="FFFF0000"/>
        <rFont val="Arial"/>
        <family val="2"/>
      </rPr>
      <t>Instalación acero de refuerzo y encofrado Viga Cabezal y muro espaldar, se funde Viga Cabezal con topes sísmicos, pedestales, muro espaldar y aletas ontegradas. Instalación acero de refuerzo losa de aproximación.</t>
    </r>
    <r>
      <rPr>
        <sz val="11"/>
        <rFont val="Arial"/>
        <family val="2"/>
      </rPr>
      <t xml:space="preserve">
PILA 2A:  Se instala acero de refuerzo de los núcleos 29 y 30 y se funden. Se realiza la elevación de columnas a nivel de la Viga cabezal. Instalación de andamios de carga  y plataforma para Viga Cabezal. Se instala acero de refuerzo y encofrado Viga Cabezal, topes sísmicos y pedestales y se funden.
 PILA 1A,se instala cero de refuerzo núcleo del Caisson 27 y 28 y se funden. Instalación acero de refuerzo y encofrado elevación Columna Caisson 28 . Instalación plataforma, acero de refuerzo y encofrado, Viga Cabezal, topes sísmicos y pedestales y se funde.
</t>
    </r>
    <r>
      <rPr>
        <sz val="11"/>
        <color rgb="FFFF0000"/>
        <rFont val="Arial"/>
        <family val="2"/>
      </rPr>
      <t xml:space="preserve">
</t>
    </r>
    <r>
      <rPr>
        <u/>
        <sz val="11"/>
        <color rgb="FFFF0000"/>
        <rFont val="Arial"/>
        <family val="2"/>
      </rPr>
      <t xml:space="preserve">SUPERESTRUCTURA </t>
    </r>
    <r>
      <rPr>
        <sz val="11"/>
        <color rgb="FFFF0000"/>
        <rFont val="Arial"/>
        <family val="2"/>
      </rPr>
      <t xml:space="preserve">
Instalación de mortero de nivelación con Sika Grout sobre pedestales. Montaje del Equipo lanza-vigas en el Estribo 2.
Vanos 9, 8, 7, 6, 5 y 4: Instalación de Vigas prefabricadas sobre apoyos de neopreno, instalación de pre-losas, construcción de Diagragmas e instalación acero de refuerzo de las losas y se funden. En el Vano 3, se instalan Vigas prefabricadas, instalación de pre-losas y construcción de Diafragma.  Instalación plataforma y acero de refuerzo para voladizos vanos 9, 8, 7 y 6 costado izquierdo y se funden. Para el costado derecho, se instala plataforma y acero de refuerzo en voladizos 9 y 8 y se funden. </t>
    </r>
  </si>
  <si>
    <r>
      <rPr>
        <b/>
        <sz val="11"/>
        <color theme="1"/>
        <rFont val="Arial"/>
        <family val="2"/>
      </rPr>
      <t>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t>
    </r>
    <r>
      <rPr>
        <sz val="11"/>
        <color rgb="FFFF0000"/>
        <rFont val="Arial"/>
        <family val="2"/>
      </rPr>
      <t>Caisson 1 h=9m, Caisson 2 h=7m</t>
    </r>
    <r>
      <rPr>
        <sz val="11"/>
        <color theme="1"/>
        <rFont val="Arial"/>
        <family val="2"/>
      </rPr>
      <t>, PILA 1: Caisson 3 h=5,4m, Caisson 4 h=8,4m, PILA 2: Caisson 5 h=15,2m, Caisson 6 h=18,2m ESTRIBO 2:  Caisson 7 h=11,05m, Caisson 8 h=11m  .  El avance en la excavación y fundida de anillos es del 86,7%</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r>
      <rPr>
        <sz val="11"/>
        <color rgb="FFFF0000"/>
        <rFont val="Arial"/>
        <family val="2"/>
      </rPr>
      <t xml:space="preserve"> </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</si>
  <si>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t>
    </r>
    <r>
      <rPr>
        <sz val="11"/>
        <color rgb="FFFF0000"/>
        <rFont val="Arial"/>
        <family val="2"/>
      </rPr>
      <t xml:space="preserve"> </t>
    </r>
    <r>
      <rPr>
        <sz val="11"/>
        <rFont val="Arial"/>
        <family val="2"/>
      </rPr>
      <t>ESTRIBO 1 Caissons 1 h=14,0m, Caisson 2 h=14,0m; PILA 1 Caisson 3 h=14m, Caisson 4 h=13,5m; PILA 2 Caisson 5 h=9,37m,  Caisson 6 h=9,8m, ESTRIBO 2 Caisson 7 h=11,3m,  Caisson 8 h=13,11m.  .  El avance en la excavación y fundida de anillos es del 145,7%</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 xml:space="preserve">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ESTRIBO 1: Instalación acero de refuerzo núcleo Caisson 1 y 2 y se funden. Instalación acero de refuerzo y encofrado elevación columnas de Caissons a nivel de Viga Cabezal. y se funden. Instalación andamios de carga , plataforma, acero de refuerzo Viga Cabezal y se funde con los topes sísmicos y pedestales.
PILA 1: Instalación acero de refuerzo núcleo Caisson 3 y 4 y e funden. Instalación acero de refuerzo y encofrado elevación columnas a nivel de Viga cabezal y e funden. Instalación andamio de carga, plataforma, acero de refuerzo Viga Cabezal, topes sísmicos, pedestales y se funde.
</t>
    </r>
    <r>
      <rPr>
        <sz val="11"/>
        <color rgb="FFFF0000"/>
        <rFont val="Arial"/>
        <family val="2"/>
      </rPr>
      <t>En el Estribo 1, se construye muro en concreto reforzado de 3 módulos para contención de rrelleno. Se instala acero de refuerzo, encofrado y se funde zapata del módulo 3. Se instala acero de refuerzo y encofrado elevacón del muro y se funde alzado 1 y 2.  se realiza excavación mecánica para módulo 1, instalación solado y acero de refuerzo zapata y vastago. Se funde zapata.</t>
    </r>
  </si>
  <si>
    <r>
      <rPr>
        <b/>
        <sz val="11"/>
        <color theme="1"/>
        <rFont val="Arial"/>
        <family val="2"/>
      </rPr>
      <t>PUENTE PK21+700 UF2.1</t>
    </r>
    <r>
      <rPr>
        <b/>
        <i/>
        <sz val="11"/>
        <color theme="1"/>
        <rFont val="Arial"/>
        <family val="2"/>
      </rPr>
      <t xml:space="preserve"> </t>
    </r>
    <r>
      <rPr>
        <sz val="11"/>
        <color theme="1"/>
        <rFont val="Arial"/>
        <family val="2"/>
      </rPr>
      <t>E</t>
    </r>
    <r>
      <rPr>
        <sz val="11"/>
        <rFont val="Arial"/>
        <family val="2"/>
      </rPr>
      <t>l concesionario inicia actividades el día 6 de marzo de 2020, con el replanteo topográfico de ubicacion de caisson y construcción de caminos de acceso al sitio de las obras.
En cuanto a la excavación y construcción de anillos de los Caissons se lleva el siguiente avance: 97,0%
ESTRIBO 1.</t>
    </r>
    <r>
      <rPr>
        <sz val="11"/>
        <color rgb="FFFF0000"/>
        <rFont val="Arial"/>
        <family val="2"/>
      </rPr>
      <t xml:space="preserve"> </t>
    </r>
    <r>
      <rPr>
        <sz val="11"/>
        <rFont val="Arial"/>
        <family val="2"/>
      </rPr>
      <t>Corte mecánico adecuación área para construcción Estribo. Caisson 1 h=7,2m, Caisson2 h=5,5m
PILA 1: Caisson 3 h=17m, Caisson 4 h=22m
PILA 2: Caisson 5 h=12m, Caisson 6 h=13,3m
PILA 3: Caisson 7 h=8m, Caisson 8 h=12m
PILA 4: Caisson 9 h=8,5m, Caisson 10 h=9m</t>
    </r>
    <r>
      <rPr>
        <sz val="11"/>
        <color theme="1"/>
        <rFont val="Arial"/>
        <family val="2"/>
      </rPr>
      <t xml:space="preserve">
</t>
    </r>
    <r>
      <rPr>
        <u/>
        <sz val="11"/>
        <rFont val="Arial"/>
        <family val="2"/>
      </rPr>
      <t xml:space="preserve">INFRAESTRUCTURA 
</t>
    </r>
    <r>
      <rPr>
        <sz val="11"/>
        <rFont val="Arial"/>
        <family val="2"/>
      </rPr>
      <t>ESTRIBO 1: Se instala acero de refuerzo y se funden los núcleos de los Caissons 1 y 2. Se instala solado.</t>
    </r>
    <r>
      <rPr>
        <sz val="11"/>
        <color rgb="FFFF0000"/>
        <rFont val="Arial"/>
        <family val="2"/>
      </rPr>
      <t xml:space="preserve"> </t>
    </r>
    <r>
      <rPr>
        <sz val="11"/>
        <rFont val="Arial"/>
        <family val="2"/>
      </rPr>
      <t>Instalación acero de refuerzo y encofrado Viga Cabezal, topes sísmicos, pedestales, cuerpo del Estribo y se funden.</t>
    </r>
    <r>
      <rPr>
        <sz val="11"/>
        <color rgb="FFFF0000"/>
        <rFont val="Arial"/>
        <family val="2"/>
      </rPr>
      <t xml:space="preserve"> I</t>
    </r>
    <r>
      <rPr>
        <sz val="11"/>
        <rFont val="Arial"/>
        <family val="2"/>
      </rPr>
      <t>nstalación acero de refuerzo y encofrado aleta izquierda y derecha y se funden. Construcción de muro en concreto reforzado complementario al Estribo costado derecho. Se funde zapata. Se instala acero de refuerzo y encofrado elevación de muro y se funde.</t>
    </r>
    <r>
      <rPr>
        <sz val="11"/>
        <color rgb="FFFF0000"/>
        <rFont val="Arial"/>
        <family val="2"/>
      </rPr>
      <t xml:space="preserve">
</t>
    </r>
    <r>
      <rPr>
        <sz val="11"/>
        <rFont val="Arial"/>
        <family val="2"/>
      </rPr>
      <t>PILA 1: Se funden núcleos de Caissons 3 y 4. Se instala acero de refuerzo y encofrado elevacion de Columnas a nivel de Viga cabezal y se funde</t>
    </r>
    <r>
      <rPr>
        <sz val="11"/>
        <color rgb="FFFF0000"/>
        <rFont val="Arial"/>
        <family val="2"/>
      </rPr>
      <t xml:space="preserve">. </t>
    </r>
    <r>
      <rPr>
        <sz val="11"/>
        <rFont val="Arial"/>
        <family val="2"/>
      </rPr>
      <t>Adecuación área para Viga Cabeza</t>
    </r>
    <r>
      <rPr>
        <sz val="11"/>
        <color rgb="FFFF0000"/>
        <rFont val="Arial"/>
        <family val="2"/>
      </rPr>
      <t xml:space="preserve">l. </t>
    </r>
    <r>
      <rPr>
        <sz val="11"/>
        <rFont val="Arial"/>
        <family val="2"/>
      </rPr>
      <t>Instalación andamios de carga, plataforma, acero de refuerzo Viga Cabezal, topes sísmicos,  pedestales y se funden.</t>
    </r>
    <r>
      <rPr>
        <u/>
        <sz val="11"/>
        <rFont val="Arial"/>
        <family val="2"/>
      </rPr>
      <t xml:space="preserve">
</t>
    </r>
    <r>
      <rPr>
        <sz val="11"/>
        <rFont val="Arial"/>
        <family val="2"/>
      </rPr>
      <t>PILA 2:</t>
    </r>
    <r>
      <rPr>
        <sz val="11"/>
        <color rgb="FFFF0000"/>
        <rFont val="Arial"/>
        <family val="2"/>
      </rPr>
      <t xml:space="preserve"> </t>
    </r>
    <r>
      <rPr>
        <sz val="11"/>
        <rFont val="Arial"/>
        <family val="2"/>
      </rPr>
      <t>Se funde el núcleo de los Caissons 5 y 6. Instalación acero de refuerzo Columnas 5 y 6, se funden a nivel de Viga Cabezal.  Instalación de andamios de carga y plataforma , se instala acero de refuerzo Viga Cabezal y se funde con topes sísmicos y pedestales.</t>
    </r>
    <r>
      <rPr>
        <u/>
        <sz val="11"/>
        <rFont val="Arial"/>
        <family val="2"/>
      </rPr>
      <t xml:space="preserve">
</t>
    </r>
    <r>
      <rPr>
        <sz val="11"/>
        <rFont val="Arial"/>
        <family val="2"/>
      </rPr>
      <t xml:space="preserve">PILA 3: Se funde el núcleo de los Caissons 7 y 8 y la elevación de las columnas a nivel de la Viga cabezal. Instalación andamios de carga, plataforma y acero de refuerzo Viga cabezal,  se funde con topes sísmicos y pedestales.
PILA 4: Se funde el núcleo de los Caissons 9 y 10 y la Viga Cabezal con los topes sísmicos y los pedestales.
Se realiza demolición del cuerpo del Estribo 1 del puente PK21+840. Se funden pesestales.
ESTRIBO 2: Se construyen pedestales y topes sísmicos sobre área construida del Estribo 1 del Puente PK21+840.
</t>
    </r>
    <r>
      <rPr>
        <u/>
        <sz val="11"/>
        <rFont val="Arial"/>
        <family val="2"/>
      </rPr>
      <t xml:space="preserve">SUPERESTRUCTURA
</t>
    </r>
    <r>
      <rPr>
        <sz val="11"/>
        <rFont val="Arial"/>
        <family val="2"/>
      </rPr>
      <t>Escarificación de pedestales para instalar mortero de nivelación. Montaje del equipo lanza-vigas.</t>
    </r>
    <r>
      <rPr>
        <sz val="11"/>
        <color rgb="FFFF0000"/>
        <rFont val="Arial"/>
        <family val="2"/>
      </rPr>
      <t xml:space="preserve">
Vanos 1 , 2 y 3: Instalación de Vigas prefabricadas sobre apoyos de neopreno, construcción de diafragmas, instalación de pre-losas, acero de refuerzo de la losa y se funde. Vano 4: Instalación de Vigas sobre apoyos de neopreno, instalación de pre-losas, construcción de diafragma e instalación acero de refuerzo losa.</t>
    </r>
  </si>
  <si>
    <r>
      <rPr>
        <b/>
        <sz val="11"/>
        <color theme="1"/>
        <rFont val="Arial"/>
        <family val="2"/>
      </rPr>
      <t xml:space="preserve">PUENTE PK33+100 UF2.1 VIADUCTO SOBRE EL RÍO CAUCA TRAMO 1 VOLADIZOS.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INFRAESTRUCTURA
</t>
    </r>
    <r>
      <rPr>
        <sz val="11"/>
        <color theme="1"/>
        <rFont val="Arial"/>
        <family val="2"/>
      </rPr>
      <t>ESTRIBO 1: Se excava y se funde el núcleo de los Pilotes 1 y 2 a un h= promedio efectivo de 21,2m.</t>
    </r>
    <r>
      <rPr>
        <sz val="11"/>
        <color rgb="FFFF0000"/>
        <rFont val="Arial"/>
        <family val="2"/>
      </rPr>
      <t xml:space="preserve"> </t>
    </r>
    <r>
      <rPr>
        <sz val="11"/>
        <rFont val="Arial"/>
        <family val="2"/>
      </rPr>
      <t>Excvavaciones y descabece de Pilotes. Instalación de solado, acero de refuerzo y encofrado de Viga cabezal y cuerpo del Estribo, se fundeViga cabezal. Encofrado tramo 1 del cuerpo del Estribo y se funde. Se instalan aisladores sísmicos para la Dovela sobre Estribo. Se instala acero de refuerzo Dovela sobre Estribo y se funde . se instalan ductos para cables de tensionamiento. Se funde tramo 1 muro epaldar y topes sísmicos.</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 pedestal, apoyo de los aisladores sísmicos y se funde incluyendo las pantallas temporales.</t>
    </r>
    <r>
      <rPr>
        <sz val="11"/>
        <color rgb="FFFF0000"/>
        <rFont val="Arial"/>
        <family val="2"/>
      </rPr>
      <t xml:space="preserve"> </t>
    </r>
    <r>
      <rPr>
        <sz val="11"/>
        <rFont val="Arial"/>
        <family val="2"/>
      </rPr>
      <t>Se instalan seis (6)aisladores sísmicos sobre pedestales. Instalación de grouting. 
PILA 2: Se excava y se funde el núcleo de los Pilotes: 19, 20, 21, 22, 23, 24, 25, 26, 27, 28, 29, 30, 31, 32, 33 y  34 a h= promedio efectivo de 30,0m.  Se realizan prueba</t>
    </r>
    <r>
      <rPr>
        <sz val="11"/>
        <color theme="1"/>
        <rFont val="Arial"/>
        <family val="2"/>
      </rPr>
      <t>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t>
    </r>
    <r>
      <rPr>
        <sz val="11"/>
        <rFont val="Arial"/>
        <family val="2"/>
      </rPr>
      <t xml:space="preserve"> Instalación de tres (3) aisladores sísmicos sobre cada uno de los dos (2) pedestales. Instalación acero de refuerzo construcción pantallas temporales y se funden. </t>
    </r>
    <r>
      <rPr>
        <sz val="11"/>
        <color theme="1"/>
        <rFont val="Arial"/>
        <family val="2"/>
      </rPr>
      <t xml:space="preserve">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 xml:space="preserve">TRAMO 1  SUPETESTRUCTURA 
</t>
    </r>
    <r>
      <rPr>
        <sz val="11"/>
        <color rgb="FFFF0000"/>
        <rFont val="Arial"/>
        <family val="2"/>
      </rPr>
      <t>PILA 1: I</t>
    </r>
    <r>
      <rPr>
        <sz val="11"/>
        <rFont val="Arial"/>
        <family val="2"/>
      </rPr>
      <t xml:space="preserve">nstalación de plataforma para construcción de Dovela sobre Pila y Dovelas N°1. Se instala acero de refuerzo losa inferior, muros  y losa superior y se funde. </t>
    </r>
    <r>
      <rPr>
        <sz val="11"/>
        <color rgb="FFFF0000"/>
        <rFont val="Arial"/>
        <family val="2"/>
      </rPr>
      <t xml:space="preserve">
VOLADIZO 1: </t>
    </r>
    <r>
      <rPr>
        <sz val="11"/>
        <rFont val="Arial"/>
        <family val="2"/>
      </rPr>
      <t>A prtir del Estribo 1 se instala concreto de solado para construir a este nivel las dovelas 15, 14, 13, 12 y 11 del voladizo 1. Se instala acero de refuerzo de losa inferior y muros de estas Dovelas y se funde losa inferior y muros. Se instala plataforma y acero de refuerzo para losa superior y se funde Dovelas 15, 14, 13, 12 y 11. Se instalan andamios de carga y  plataforma  para Dovelas 2, 3, 4 y 5 en voladizo 1. Se instala acero de refuerzo losa inferior y muros y se funden losa inferior  y muros Instalación plataforma, acero de refuerzo de losa superior y se funden. Se instala plataforma , acero de refuerzo de losa inferior y muros Dovelas 6, 7 , 8, 9 y 10. Se funde losa inferior  y muros de estas Dovelas. Se instala plataforma y acero de refuerzo losa superior y se funden Dovelas 6, 7 y 8. Se instala plataforma, acero de refuerzo y ductos para losa superior Dovelas 9, 10 y 11 y se funden.</t>
    </r>
    <r>
      <rPr>
        <sz val="11"/>
        <color rgb="FFFF0000"/>
        <rFont val="Arial"/>
        <family val="2"/>
      </rPr>
      <t xml:space="preserve">
VOLADIZO 2: Se instala el carro de avance Dovelas  N°2., 3, 4, 5, 6, 7, 8 , 9 , 10 , 11 , 12, 13, 14, 15, 16,  17 y 18, se instala acero de refuerzo, ductos y se funden. Se instalan cables y se tensionan. </t>
    </r>
    <r>
      <rPr>
        <u/>
        <sz val="11"/>
        <color theme="1"/>
        <rFont val="Arial"/>
        <family val="2"/>
      </rPr>
      <t xml:space="preserve">
</t>
    </r>
    <r>
      <rPr>
        <sz val="11"/>
        <color rgb="FFFF0000"/>
        <rFont val="Arial"/>
        <family val="2"/>
      </rPr>
      <t xml:space="preserve">PILA 2: </t>
    </r>
    <r>
      <rPr>
        <sz val="11"/>
        <rFont val="Arial"/>
        <family val="2"/>
      </rPr>
      <t xml:space="preserve"> Instalación plataforma, acero de refuerzo y encofrado Dovela sobre Pila y Dovelas N°1 voladizos 3 y 4, se funde losa inferior,  muros y losa superior.</t>
    </r>
    <r>
      <rPr>
        <sz val="11"/>
        <color rgb="FFFF0000"/>
        <rFont val="Arial"/>
        <family val="2"/>
      </rPr>
      <t xml:space="preserve">  
VOLADIZO 4:</t>
    </r>
    <r>
      <rPr>
        <sz val="11"/>
        <rFont val="Arial"/>
        <family val="2"/>
      </rPr>
      <t xml:space="preserve"> Instalación de material para conformación de terraplén. Se instala concreto de solado sobre el terraplén conformado. Se  instala acero de refuerzo de la losa inferior y muros Dovelas 2 , 3 , 4 y 5. Se funde losa inferior y muros. Se instala plataforma y acero de refuerzo para losa superior  de estas Dovelas y se funden. Se instalan andamios de carga y plataforma, acero de refuerzo losa inferior y muros construcción de Dovelas 6, 7 8 , 9, 10 y 11; y se funden para el voladizo 4. Se instala plataforma para losa superior , acero de refuerzo y ductos de estas Dovelas y se funden. Se continúa con Dovelas  12 y 13, se instala acero de refuerzo losa iferior, muros y losa superior y se funden. Se instala paltaforma , acero de refuerzo de la losa inferior, muros y losa superior de las Dovelas 14, 15 y 16 y se funden. Se instala plataforma, encofrado,  acero de refuerzo, losa de piso y muros Dovelas 17 y 18. Se funde losa inferior, muros y losa superior. Se instala acero de refuerzo Dovela sobre Pila 3, se funde primer alzado. Instalación acero de refuerzo y encofrado topes sísmicos Dovela sobre Pila 3.</t>
    </r>
    <r>
      <rPr>
        <sz val="11"/>
        <color rgb="FFFF0000"/>
        <rFont val="Arial"/>
        <family val="2"/>
      </rPr>
      <t xml:space="preserve">
VOLADIZO 3: Se realiza el montaje del carro de avance, se instala acero de refuerzo, ductos y se funden las Dovelas 2, 3, 4, 5,  6, 7,  8, 9, 10, 11, 12, 13, 14, 15, 16, 17 y 18;  se instalan cables y se tensionan para estas Dovelas.  Se tensionan cables de continuidad en Dovelas 10, 11,14 y 17.
Desplazamiento carro de avance y nivelavión para la Dovela de cierre entre voladizos 2 y 3. Se funden dados de protección de los elementos de tensionamiento.</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</si>
  <si>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TERMINADA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  TERMINADA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t>
    </r>
  </si>
  <si>
    <r>
      <rPr>
        <b/>
        <sz val="11"/>
        <color theme="1"/>
        <rFont val="Arial"/>
        <family val="2"/>
      </rPr>
      <t>AMPLIACIÓN PUENTE N°4 QUEBRADA LA NUEZ . PK2+600 UF1.</t>
    </r>
    <r>
      <rPr>
        <sz val="11"/>
        <color theme="1"/>
        <rFont val="Arial"/>
        <family val="2"/>
      </rPr>
      <t xml:space="preserve">  El concesionario inicia actividades el 3 de agosto de 2020.  Este Puente está conformado por 3 luces en Vigas postensadas para una luz total de 80m.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para retiro del tablero y los New Jersey existentente.  Se  retira  tablero y New Yersey vanos 1 y 2. Instalación de plataforma para voladizo, Steel-Deck, acero de refuerzo losa vanos 1 y 2 y se funden. Retiro de tablero y New Jersey existentes en vano 3. Para este Vano se instala metal deck, plataforma de voladizos, acero de refuerzo de la losa y se funde</t>
    </r>
    <r>
      <rPr>
        <sz val="11"/>
        <color rgb="FFFF0000"/>
        <rFont val="Arial"/>
        <family val="2"/>
      </rPr>
      <t xml:space="preserve">. </t>
    </r>
    <r>
      <rPr>
        <sz val="11"/>
        <rFont val="Arial"/>
        <family val="2"/>
      </rPr>
      <t xml:space="preserve">Perforaciones para instalación de platinas baranda vehicular. Instalación de platinas 5/8", pernos y parales IPE-220  y tubería metálica costado izquierdo y derecho. Instalación de pintura anticorrociva y pintura de poliuretano. Construcción de bases de apoyo para instalación de postes luminarias costado izquierdo. </t>
    </r>
    <r>
      <rPr>
        <sz val="11"/>
        <color rgb="FFFF0000"/>
        <rFont val="Arial"/>
        <family val="2"/>
      </rPr>
      <t xml:space="preserve"> Ampliación terminada, Falta carpeta de rodadura.</t>
    </r>
  </si>
  <si>
    <r>
      <rPr>
        <b/>
        <sz val="11"/>
        <color theme="1"/>
        <rFont val="Arial"/>
        <family val="2"/>
      </rPr>
      <t>AMPLIACIÓN PUENTE N°5 QUEBRADA LA CAUSALA . PK3+183 UF1.</t>
    </r>
    <r>
      <rPr>
        <sz val="11"/>
        <color theme="1"/>
        <rFont val="Arial"/>
        <family val="2"/>
      </rPr>
      <t xml:space="preserve"> </t>
    </r>
    <r>
      <rPr>
        <sz val="11"/>
        <rFont val="Arial"/>
        <family val="2"/>
      </rPr>
      <t xml:space="preserve"> El concesionario inicia actividades el 15 de septiembre de 2020.</t>
    </r>
    <r>
      <rPr>
        <sz val="11"/>
        <color theme="1"/>
        <rFont val="Arial"/>
        <family val="2"/>
      </rPr>
      <t xml:space="preserve">  Este Puente está conformado por 3 luces en Vigas postensadas para una luz total de 75m.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los vanos 1 y 2 . Para el vano 1 se instala metal-deck , plataforma para los voladizos, instalación acero de refuerzo de la losa y se funde. En el vano 3, se realiza retiro de secciones de la losa,  New Jersey y demolición de tablero sobre Vigas. En Vanos 2 y 3, se instala plataforma voladizo, metal deck y acero de refuerzo de la losa y se funden.</t>
    </r>
    <r>
      <rPr>
        <sz val="11"/>
        <color rgb="FFFF0000"/>
        <rFont val="Arial"/>
        <family val="2"/>
      </rPr>
      <t xml:space="preserve">  Perforaciones e instalación de platinas 5/8" y parales IPE-220 baranda metálica por ambos costados. Construcción de apoyos para postes de luminarias costado izquierdo.</t>
    </r>
  </si>
  <si>
    <r>
      <rPr>
        <b/>
        <sz val="11"/>
        <color theme="1"/>
        <rFont val="Arial"/>
        <family val="2"/>
      </rPr>
      <t xml:space="preserve">AMPLIACIÓN PUENTE N°9 QUEBRADA SAN GREGORIO . </t>
    </r>
    <r>
      <rPr>
        <b/>
        <sz val="11"/>
        <rFont val="Arial"/>
        <family val="2"/>
      </rPr>
      <t>PK7+960 UF1.</t>
    </r>
    <r>
      <rPr>
        <sz val="11"/>
        <rFont val="Arial"/>
        <family val="2"/>
      </rPr>
      <t xml:space="preserve">  El concesionario inicia actividades el 8 de octubre de 2020.  Este Puente está conformado por 4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Se realiza retiro de carpeta asfáltica existente mediante fresado. Perforaciones a la losa existente con saca núcleos y cortes en la losa de aproximadamente 1,80X3,50 m  para retiro del tablero y los New Jersey existentente.  Se realiza retiro del tablero y New Jersey en los Vanos 5, 4 ,3, 2 y 1. Demolición de tablero sobre Vigas y encofrado realce de Vigas</t>
    </r>
    <r>
      <rPr>
        <sz val="11"/>
        <color rgb="FFFF0000"/>
        <rFont val="Arial"/>
        <family val="2"/>
      </rPr>
      <t>.</t>
    </r>
    <r>
      <rPr>
        <sz val="11"/>
        <rFont val="Arial"/>
        <family val="2"/>
      </rPr>
      <t xml:space="preserve"> Instalación de plataforma para voladizos, metal-deck, acero de refuerzo de la losa vanos 1, 2, 3, 4 y 5 y se funden</t>
    </r>
    <r>
      <rPr>
        <sz val="11"/>
        <color rgb="FFFF0000"/>
        <rFont val="Arial"/>
        <family val="2"/>
      </rPr>
      <t>. Se funden bordillos.</t>
    </r>
  </si>
  <si>
    <r>
      <rPr>
        <b/>
        <sz val="11"/>
        <color theme="1"/>
        <rFont val="Arial"/>
        <family val="2"/>
      </rPr>
      <t xml:space="preserve">AMPLIACIÓN PUENTE N°2 QUEBRADA LA VOLCANA . </t>
    </r>
    <r>
      <rPr>
        <b/>
        <sz val="11"/>
        <rFont val="Arial"/>
        <family val="2"/>
      </rPr>
      <t>PK2+100 UF1.</t>
    </r>
    <r>
      <rPr>
        <sz val="11"/>
        <rFont val="Arial"/>
        <family val="2"/>
      </rPr>
      <t xml:space="preserve">  El concesionario inicia actividades el 3 de noviembre de 2020.  Este Puente está conformado por 3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Se realiza retiro de carpeta asfáltica existente mediante fresado. Perforaciones a la losa existente con saca núcleos y cortes en la losa de aproximadamente 1,80X3,50 m  para retiro del tablero y los New Jersey existentente.  Se realiza demolición y retiro de defensas  tipo New Jersey por ambos costados y retiro de tablero en vanos 1, 2 y 3. Demolición de tablero sobre vigas. Instalación acero de refuerzo y encofrado para construcción muro de acompañamiento al Estribo 1 costado derecho acceso a Palmitas y se funde</t>
    </r>
    <r>
      <rPr>
        <sz val="11"/>
        <color rgb="FFFF0000"/>
        <rFont val="Arial"/>
        <family val="2"/>
      </rPr>
      <t>.</t>
    </r>
    <r>
      <rPr>
        <sz val="11"/>
        <rFont val="Arial"/>
        <family val="2"/>
      </rPr>
      <t xml:space="preserve"> Instalación de plataforma para voladizos, matal deck y acero de refuerzo  en losas  vanos 1 y 3 y se funden. En el vano 2, se realzan las Vigas con concreto, instalación de plataforma para voladizos, instalación de metal-Deck, acero de refuerzo de la losa y se funde. </t>
    </r>
    <r>
      <rPr>
        <sz val="11"/>
        <color rgb="FFFF0000"/>
        <rFont val="Arial"/>
        <family val="2"/>
      </rPr>
      <t>Instalación acero de refuerzo defensas tipo New Jersey acceso al puente C.I. lado Medellín. Instalación  de platinas 5/8", pernos 1" y parales IPE-220 baranda metálica costado izquierdo.</t>
    </r>
  </si>
  <si>
    <r>
      <rPr>
        <b/>
        <sz val="11"/>
        <color theme="1"/>
        <rFont val="Arial"/>
        <family val="2"/>
      </rPr>
      <t xml:space="preserve">AMPLIACIÓN PUENTE N°25 QUEBRADA EL SABLE . </t>
    </r>
    <r>
      <rPr>
        <b/>
        <sz val="11"/>
        <rFont val="Arial"/>
        <family val="2"/>
      </rPr>
      <t>PK19+420 UF1.</t>
    </r>
    <r>
      <rPr>
        <sz val="11"/>
        <rFont val="Arial"/>
        <family val="2"/>
      </rPr>
      <t xml:space="preserve">  El concesionario inicia actividades el 4 de diciembre de 2020.  Este Puente está conformado por 2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 xml:space="preserve">Se realiza retiro de carpeta asfáltica existente mediante fresado. Perforaciones a la losa existente con saca núcleos y cortes en la losa de aproximadamente 1,80X3,50 m  para retiro del tablero y los New Jersey existentes.  Se realiza demolición y retiro de defensas  tipo New Jersey por ambos costados y retiro de tablero en vanos 1,y 2. </t>
    </r>
    <r>
      <rPr>
        <sz val="11"/>
        <color rgb="FFFF0000"/>
        <rFont val="Arial"/>
        <family val="2"/>
      </rPr>
      <t xml:space="preserve"> Demolición de tablero sobre Vigas.
En el Vano 2,  se instala plataforma para voladizos por ambos costados, instalación de metal-deck y acero de refuerzo de la losa.</t>
    </r>
  </si>
  <si>
    <r>
      <rPr>
        <b/>
        <sz val="11"/>
        <color theme="1"/>
        <rFont val="Arial"/>
        <family val="2"/>
      </rPr>
      <t xml:space="preserve">AMPLIACIÓN PUENTE N°6 QUEBRADA LA POTRERA . </t>
    </r>
    <r>
      <rPr>
        <b/>
        <sz val="11"/>
        <rFont val="Arial"/>
        <family val="2"/>
      </rPr>
      <t>PK5+538 UF1.</t>
    </r>
    <r>
      <rPr>
        <sz val="11"/>
        <rFont val="Arial"/>
        <family val="2"/>
      </rPr>
      <t xml:space="preserve">  El concesionario inicia actividades el 18 de enero de 2021.  Este Puente está conformado por 6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existentes.  Se realiza demolición y retiro de defensas  tipo New Jersey por ambos costados y retiro de tablero en el vanos 6, 5, 4 y 3.</t>
    </r>
  </si>
  <si>
    <r>
      <rPr>
        <b/>
        <sz val="11"/>
        <color theme="1"/>
        <rFont val="Arial"/>
        <family val="2"/>
      </rPr>
      <t xml:space="preserve">AMPLIACIÓN PUENTE N°21 QUEBRADA LA GUARACÚ I . </t>
    </r>
    <r>
      <rPr>
        <b/>
        <sz val="11"/>
        <rFont val="Arial"/>
        <family val="2"/>
      </rPr>
      <t>PK16+130 UF1.</t>
    </r>
    <r>
      <rPr>
        <sz val="11"/>
        <rFont val="Arial"/>
        <family val="2"/>
      </rPr>
      <t xml:space="preserve">  El concesionario inicia actividades el 13 de enero de 2021.  Este Puente está conformado por 4 luces en Vigas postensada La sección está conformada por 4 Vigas sobre la cual se apoya una losa de 20 cm de espesor y un ancho de tablero de 9,08 m. La luz del Puente son aproximadamente 80,00 metros.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Se realiza retiro de carpeta asfáltica existente mediante fresado. Perforaciones a la losa existente con saca núcleos y cortes en la losa de aproximadamente 1,80X3,50 m  para retiro del tablero y los New Jersey existentes.  Se realiza demolición y retiro de defensas  tipo New Jersey por ambos costados y retiro de tablero en el vanos 1, 2, 3 Y 4</t>
    </r>
    <r>
      <rPr>
        <sz val="11"/>
        <color rgb="FFFF0000"/>
        <rFont val="Arial"/>
        <family val="2"/>
      </rPr>
      <t>. Se realiza la demolición del tablero sobre las Vigas existentes. Se realzan las Vigas y se instala plataforma para voladizos, Metal-Deck y acero de refuerzo losa Vano 1.</t>
    </r>
  </si>
  <si>
    <r>
      <rPr>
        <b/>
        <sz val="11"/>
        <color theme="1"/>
        <rFont val="Arial"/>
        <family val="2"/>
      </rPr>
      <t xml:space="preserve">AMPLIACIÓN PUENTE N°22 QUEBRADA LA MUÑÓZ I. </t>
    </r>
    <r>
      <rPr>
        <b/>
        <sz val="11"/>
        <rFont val="Arial"/>
        <family val="2"/>
      </rPr>
      <t>PK19+450 UF2.1.</t>
    </r>
    <r>
      <rPr>
        <sz val="11"/>
        <rFont val="Arial"/>
        <family val="2"/>
      </rPr>
      <t xml:space="preserve">  El concesionario inicia actividades el 10 de enero de 2021.  Este Puente está conformado por 6 luces en Vigas postensadas. La sección está conformada por 4 Vigas sobre la cual se apoya una losa de 20 cm de espesor y un ancho de tablero de 9,08 m. La luz del Puente son aproximadamente 160,00 metros.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color rgb="FFFF0000"/>
        <rFont val="Arial"/>
        <family val="2"/>
      </rPr>
      <t xml:space="preserve">Se realiza retiro de carpeta asfáltica existente mediante fresado. Perforaciones a la losa existente con saca núcleos y cortes en la losa de aproximadamente 1,80X3,50 m  para retiro del tablero y los New Jersey existentes.  </t>
    </r>
  </si>
  <si>
    <t>Ampliación Puente 22  La Muñoz 1  UF1</t>
  </si>
  <si>
    <t>Ampliación Puente 21  La Guaracú 1 UF1</t>
  </si>
  <si>
    <t>Puente PK 4+500 UF 1. Instalación acero de refuerzo zapata y vástago muro protección PILA 1 costado derecho.</t>
  </si>
  <si>
    <t>Puente PK 4+500 UF 1.   ESTRIBO 2.Instalación de concreto alzado 2 muro espaldar y aleta derecha.</t>
  </si>
  <si>
    <t>Puente PK 6+240 UF 1-  Se funden dovelas N°5 voladizos 1 y 2.</t>
  </si>
  <si>
    <t>Puente PK 6+240 UF 1-  Instalación acero de refuerzo defensas tipo New Jersey, costado derecho.</t>
  </si>
  <si>
    <t>Puente PK 6+900 UF 1- Muro complementario Estribo 1, costado izquierdo.</t>
  </si>
  <si>
    <t>Puente PK 6+900 UF 1.   Vista panorámica desde PK mayores.</t>
  </si>
  <si>
    <t>Puente PK 8+705 UF 1-   Encofrado de módulos New jersey,costado izquierdo- calzada derecha.</t>
  </si>
  <si>
    <t xml:space="preserve">Puente PK 8+705 UF 1- Acabados en módulos barrera New Jersey. </t>
  </si>
  <si>
    <t>Puente PK 8+800 UF 1- Instalación de encofrado módulos barreras New jersey, calzada derecha.</t>
  </si>
  <si>
    <t>Puente PK 8+800 UF 1-  Instalación de encofrado módulos barreras New jersey, calzada derecha.</t>
  </si>
  <si>
    <t>Puente PK 9+150 UF 1- Acabados en barrera New Jersey,costado izquierdo.</t>
  </si>
  <si>
    <t>Puente PK 9+150 UF 1- Acabados  en barrera New Jersey,costado derecho.</t>
  </si>
  <si>
    <t>Puente PK 9+400 UF 1-  PILA 1. Se funde alzado 1 columna 3.</t>
  </si>
  <si>
    <t>Puente PK 9+400 UF 1-  PILA 2. Instalación de concreto viga cabezal.</t>
  </si>
  <si>
    <t>Puente PK 9+500 UF 1- PILA 1. Columnas 3 y 4 fundidas a nivel de Viga Cabezal.</t>
  </si>
  <si>
    <t>Puente PK 9+500 UF 1-  PILA 2. Instalación acero de refuerzo caisson 5.</t>
  </si>
  <si>
    <t>Puente PK 9+800 UF 1- ESTRIBO 2. Viga Cabezal fundida con topes sísmicos y pedestales.</t>
  </si>
  <si>
    <t>Puente PK 9+800 UF 1- ESTRIBO 1. Excavación caissons 1 y 2.</t>
  </si>
  <si>
    <t>Puente PK 9+900 UF 1-  ESTRIBO 1. Instalación acero de refuerzo y encofrado Viga Cabezal.</t>
  </si>
  <si>
    <t>Puente PK 9+900 UF 1-  ESTRIBO 2. Adecuación de area para instalación concreto solado.</t>
  </si>
  <si>
    <t>Puente PK 11+110 UF 1. ESTRIBO 1A. Instalación acero de refuerzo losa de aproximación.</t>
  </si>
  <si>
    <t>Puente PK 11+110 UF 1- Instalación de acero de refuerzo losa, Vano 3.</t>
  </si>
  <si>
    <t>Puente PK 19+900 UF2.1.   ESTRIBO 1.  Excavación caisson 2.</t>
  </si>
  <si>
    <t>Puente PK 19+900 UF2.1.  PILA 1. Reinicia excavación caisson 3 y 4.</t>
  </si>
  <si>
    <t>Puente PK 20+380 UF2.1. - ESTRIBO 1. Encofrado alzado 1 vástago,  módulo 1 de muro 105.</t>
  </si>
  <si>
    <t>Puente PK 20+380 UF2.1. - ESTRIBO 1. Encofrado alzado final vastago, módulo 3; nivelación de area para solado módulo 2.</t>
  </si>
  <si>
    <t>Puente PK21+500 UF2.1.   ESTRIBO 2. Posicionamiento de equipo lanza vigas, para vano 3.</t>
  </si>
  <si>
    <t>Puente PK21+500 UF2.1.  ESTRIBO 2. Posicionamiento de equipo lanza vigas, para vano 3.</t>
  </si>
  <si>
    <t>Puente PK21+700 UF2.1.  Instalación acero de refuerzo losa, vano 4.</t>
  </si>
  <si>
    <t>Puente PK 33+100 UF 2.1 -  Nivelación de carro de avance para armado de dovela de cierre entre voladizos 2 y 3.</t>
  </si>
  <si>
    <t>Puente PK 33+100 UF 2.1 - TRAMO 1 VOLADIZOS-   Vista panorámica parte inferior Dovelas desde PK menores.</t>
  </si>
  <si>
    <t>Ampliación Puente N°5 PK3+183 UF1 Quebrada La Causala. Instalación de parales IPE 220, pernos 1" y tuberia D=4" , costado derecho.</t>
  </si>
  <si>
    <t>Ampliación Puente N°5 PK3+183 UF1 Quebrada La Causala.  Instalación de platinas 5/8", parales IPE 220 y pernos 1", costado derecho.</t>
  </si>
  <si>
    <t>Ampliación Puente N°11 PK8+790 UF1 Quebrada La Roncha. Demolición de tope sísmico costado derecho para instalación de platinas. INACTIVO.</t>
  </si>
  <si>
    <t>Ampliación Puente N°9 PK7+960 UF1  San Gregorio.  Construcción de bordillo, vano 2. INACTIVO</t>
  </si>
  <si>
    <t>Ampliación Puente N°9 PK7+960 UF1  San Gregorio.  Vista panorámica desde PK mayores. Losas fundidas. INACTIVO.</t>
  </si>
  <si>
    <t>Ampliación Puente N°2 PK2+100 UF1  La Volcana. Instalación de pla tinas 5/8", pernos 1" y parales IPE 220 costado izquierdo y derecho, baranda vehicular.</t>
  </si>
  <si>
    <t>Ampliación Puente N°2 PK2+100 UF1  La Volcana.   Se funde nueva barrera New Jersey entrada puente lado Medellín costado izquierdo</t>
  </si>
  <si>
    <t>Ampliación Puente N°25 PK19+420 UF2.1  El Sable.  Instalación acero de refuerzo losa y plantillas para defensa metalica, vano 2.</t>
  </si>
  <si>
    <t>Ampliación Puente N°25 PK19+420 UF2.1  El Sable.   Instalación acero de refuerzo losa y plantillas para defensa metalica, vano 2.</t>
  </si>
  <si>
    <t>Ampliación Puente N°6 PK5+538 UF2.1  La Potrera.   Demolición de tablero sobre vigas vano 3 y 4.</t>
  </si>
  <si>
    <t>Ampliación Puente N°6 PK5+538 UF2.1  La Potrera.   Corte de tablero vano 1 y 2.</t>
  </si>
  <si>
    <t>Ampliación Puente N°21 PK16+130 UF2.1  Quebrada La Guaracú I.   Instalación acero de refuerzo losa, vano 1.</t>
  </si>
  <si>
    <t>Ampliación Puente N°22 PK19+450 UF2.1  Quebrada La Muñóz I.   Perforaciones con extracción de núcleos.</t>
  </si>
  <si>
    <t xml:space="preserve">Ampliación Puente N°21 PK16+130 UF2.1  Quebrada La Muñóz I.   Corte longitudinal de tablero y perforaciones con extracción de núcleos. </t>
  </si>
  <si>
    <t>En este periodo el concesionario continuó con las siguientes actividades:
En Portal Medellín (PK0+804)-UF3.1B,  El día 12 de agosto de 2020, se terminó con la excavación, sección completa del  túnel principal, en el PK2+980,3; L acumulada=2,176,3 m a origen. También se terminó las instalación de concreto 25 MPa (sin fibra) para revestimiento en el K0+804 (Emboquille) (con observaciones de calidad oficio-EPS4G-00087-20); Acumulada=2.176,30 m. 
En el periodo se continuó la instalación de tubería perforada Novafort PAVCO de D= 400 mm para drenajes, entre abscisas PK2+980,30 a PK2+140 Hastial Derecho y PK2+980,30 a PK2+090 Hastial izquierdo.
Se evidencio la instalación de concreto  de f´c=25 MPa, con solera plana en PK0+850 a PK0+880 (Hastial Derecho e Izquierdo) y contra bóveda, entre los PK0+804  a PK0+850 (Hastial derecho). 
En el periodo, la ventilación se esta ejecutando mediante ventilador axial Zitron 286 KW, desde el portal santa Fe. También, se evidenció; que se continua con el desmontaje de la PTAR; el vertimiento de la aguas de infiltración, se esta realizando por los nuevos drenajes D=400 mm y por la  cuneta de drenaje del túnel nuevo;  la cual descarga en las piscinas de sedimentación  de la PTAR Portal santa Fe y posteriormente en la quebrada LA FRISOLA.
Se evidenció que continúan las infiltraciones con menor caudal; por lo anterior, en visitas la residencia de túneles de la interventoría , se le ratificó  en obra a los residentes constructores, la solicitud de continuar con el monitoreo de caudales y el control y encausamiento adecuado (construcción y mantenimiento de cunetas), de las aguas de infiltración, además del mantenimiento permanente que se le debe ejecutar a la rasante actual; ya que ésta sigue presentando baches llenos de agua y desniveles pronunciados. Igualmente se le informó nuevamente al concesionario que debe relanzar concreto en los "PATEROS"  que están siendo perfilados, debido a la construcción de los drenajes.</t>
  </si>
  <si>
    <r>
      <t xml:space="preserve">De  acuerdo con el programa de trabajo presentado por el concesionario para la </t>
    </r>
    <r>
      <rPr>
        <b/>
        <sz val="11"/>
        <rFont val="Arial"/>
        <family val="2"/>
      </rPr>
      <t>UF3.1.D</t>
    </r>
    <r>
      <rPr>
        <sz val="11"/>
        <rFont val="Arial"/>
        <family val="2"/>
      </rPr>
      <t xml:space="preserve">, el concesionario terminó actividades de instalación del revestimiento (con observaciones de calidad oficio-EPS4G-00087-20), y continuó con la construcción drenajes D=400 mm,  e inicio la construcción de cárcamos de telecomunicaciones e ITS, en túnel principal, </t>
    </r>
    <r>
      <rPr>
        <b/>
        <sz val="11"/>
        <rFont val="Arial"/>
        <family val="2"/>
      </rPr>
      <t>Portal Medellín</t>
    </r>
    <r>
      <rPr>
        <sz val="11"/>
        <rFont val="Arial"/>
        <family val="2"/>
      </rPr>
      <t>, sin atrasos evidentes.</t>
    </r>
  </si>
  <si>
    <r>
      <t xml:space="preserve">En el Portal Santa Fe de Antioquia (PK5+410)-UF3.1B. </t>
    </r>
    <r>
      <rPr>
        <b/>
        <sz val="11"/>
        <rFont val="Arial"/>
        <family val="2"/>
      </rPr>
      <t xml:space="preserve"> </t>
    </r>
    <r>
      <rPr>
        <sz val="11"/>
        <rFont val="Arial"/>
        <family val="2"/>
      </rPr>
      <t>El día 12 de agosto de 2020, se terminó con la excavación, sección completa del  túnel principal, en el PK2+980,3; L acumulada=2.429,7m a origen,  también se terminó las instalación de concreto 25 MPa (sin fibra) para revestimiento en el K5+410 (con observaciones de calidad oficio-EPS4G-00087-20); Acumulada=2.429,70 m.
En el periodo se terminó la instalación de tubería perforada Novafort PAVCO de D= 400 mm para drenajes, entre las abscisas PK2+980,30 hasta PK5+410  Hastial Derecho, y desde el PK2+980,30 hasta  PK5+410 Hastial izquierdo .
Se evidencia instalación de concreto para solera plana en terreno tipo SC-4R, entre los PK3+105,5-PK3+143, en Tipo SC-3R  entre los PK4+413,5 al PK4+337,5, y en Tipo SC-2R entre los PK4+556,5 al PK4+565,5 y PK4+633 al PK4+651.
Se evidencia construcción de CAZ de residuos contaminantes del PK2+980,3 al PK3+100,  PK3+180,3 al PK3+385 y  PK3+590 al PK3+860.
Se evidencia construcción de cárcamo con ductos eléctricos de Media Tensión 4Ø6", del PK3+030 al PK3+095, PK3+210 al PK3+600 y del PK3+690 al PK4+380 Hastial Derecho, y la instalación de acero de refuerzo para cárcamo de comunicaciones e ITS en PK3+385 a PK3+560 y PK3+3690 a PK4+380.
Por otro lado continúan las infiltraciones con menor caudal, e infiltraciones intensas localizadas sin control alguno; por lo anterior, en visitas la residencia de túneles de la interventoría , se le ratificó  en obra a los residentes constructores, la solicitud de continuar con el monitoreo de caudales y el control y encausamiento adecuado (construcción adecuada de cunetas), de las aguas de infiltración del túnel; además del mantenimiento permanente que se le debe ejecutar a la rasante actual; ya que ésta presenta baches llenos de agua y desniveles pronunciados en algunos tramos. Igualmente se le informó nuevamente al concesionario, que debe relanzar concreto en los "PATEROS"  que están perfilados, debido a la construcción de los drenajes.</t>
    </r>
  </si>
  <si>
    <t xml:space="preserve">En  Galería de Conexión Peatonal No 2 (2+165-Tunel nuevo):  Se termino la excavación de la galería desde el túnel nuevo (Cale), avanzó en terrenos con sostenimiento Tipo SG- II,sección completa, en el PK0+085,4. Ltotal acumulada de excavación = 92,4 m; éste avance esta adelantado,  teniendo en cuenta el programa de obra actualizado, el cual contempla el  inicio de excavación, el día 21 de enero de 2021.
En  Galería de Conexión Peatonal No 3 (2+675-Tunel nuevo): Se termino la excavación de la galería desde el túnel nuevo (Cale), avanzó en terrenos con sostenimiento Tipo SG- II,sección completa, en el PK0+081,1. Ltotal acumulada de excavación = 86,6 m; éste avance esta adelantado,  teniendo en cuenta el programa de obra actualizado, el cual contempla el  inicio de excavación, el día 30 de diciembre de 2021.
En  Galería de Conexión Vehicular No 2 (3+165-Tunel nuevo):  Se termino la excavación de la galería desde el túnel nuevo (Cale), avanzó en terrenos con sostenimiento Tipo SG- II,sección completa, en el PK0+074,6. Ltotal acumulada de excavación = 80,6 m; éste avance esta adelantado,  teniendo en cuenta el programa de obra actualizado, el cual contempla el  inicio de excavación, el día 30 de diciembre de 2020.
En  Galería de Conexión Peatonal No 4 (3+645-Tunel nuevo):  Se terminó la excavación de la galería desde el túnel nuevo (cale), avanzó en terrenos con sostenimiento Tipo SG- I,sección completa, en el PK0+069,7. L total acumulada de excavación =75,7 m a origen; éste avance esta adelantado,  teniendo en cuenta el programa de obra actualizado, el cual contempla el  inicio de excavación, el día 26 de enero de 2021.
En  Galería de Conexión Peatonal No 5 (4+050-Tunel nuevo):  Se terminó la excavación de la galería desde el túnel nuevo (Cale), avanzó en terrenos con sostenimiento Tipo SG- II,sección completa, en el PK0+88,60. L total acumulada de excavación =96,10 m; éste avance esta adelantado,  teniendo en cuenta el programa de obra actualizado, el cual contempla el  inicio de excavación, el día 18 de febrero de 2021.
En  Galería de Conexión Vehicular No 3 (4+445- Túnel nuevo),  Se terminó la excavación de la galería desde el túnel nuevo (Cale), avanzó en terrenos con sostenimiento Tipo SG- II,sección completa, en el PK0+110,40. L total acumulada de excavación =114,80 m; éste avance esta adelantado,  teniendo en cuenta el programa de obra actualizado, el cual contempla el  inicio de excavación, el día 12 de marzo de 2021.
En  Galería de Conexión Peatonal No 6 (4+940- Túnel nuevo) , Se Terminó la excavación desde el túnel nuevo, en terrenos con sostenimiento Tipo SG- II, sección completa, en el PK0+136,50. L total acumulada de excavación = 140,50 m, éste avance esta adelantado,  teniendo en cuenta el programa de obra actualizado, el cual contempla el  inicio de excavación, el día 14 abril de 2021.
En  Galería de Conexión Vehicular No 1 (1+695- Túnel nuevo). Se Terminó la excavación desde el túnel nuevo, en terrenos con sostenimiento Tipo SG- II,sección completa, en el PK0+093,20. L total acumulada de excavación = 100,20 m, éste avance esta adelantado,  teniendo en cuenta el programa de obra actualizado, el cual contempla el  inicio de excavación, el día 17 marzo de 2021.
En Galería Peatonal No 1 (1+230- Túnel nuevo). Se terminó la excavación desde el túnel nuevo (Cale), en terrenos con sostenimiento Tipo SG- II, sección completa, en el PK0+092,2- Ltotal acumulada de excavación = 101,4 m; éste avance esta adelantado,  teniendo en cuenta el programa de obra actualizado, el cual contempla el  inicio de excavación, el día 27 de abril de 2021.. </t>
  </si>
  <si>
    <r>
      <rPr>
        <b/>
        <sz val="11"/>
        <rFont val="Arial"/>
        <family val="2"/>
      </rPr>
      <t>Portal Medellín - Segundo Tubo Túnel Occidente</t>
    </r>
    <r>
      <rPr>
        <sz val="11"/>
        <rFont val="Arial"/>
        <family val="2"/>
      </rPr>
      <t xml:space="preserve">
Actividades de Instalación del drenaje D=400 mm, con tubería perforada Novafort-PAVCO, Instalación concreto para soleras planas 25MPa, construcción de caz de residuos peligrosos, construcción de cárcamos para telecomunicaciones e ITS. Portal Medellín.
</t>
    </r>
  </si>
  <si>
    <r>
      <t xml:space="preserve">Galerías de conexión peatonal y vehicular - segundo tubo Túnel Occidente
</t>
    </r>
    <r>
      <rPr>
        <sz val="11"/>
        <rFont val="Arial"/>
        <family val="2"/>
      </rPr>
      <t xml:space="preserve">Actividades de construcción de "muros tape" en galerías </t>
    </r>
  </si>
  <si>
    <r>
      <rPr>
        <b/>
        <sz val="11"/>
        <rFont val="Arial"/>
        <family val="2"/>
      </rPr>
      <t>Portal Santa Fe - Segundo Tubo Túnel de Occidente</t>
    </r>
    <r>
      <rPr>
        <sz val="11"/>
        <rFont val="Arial"/>
        <family val="2"/>
      </rPr>
      <t xml:space="preserve">
Actividades de Instalación del drenaje D=400 mm, con tubería perforada Novafort-PAVCO, Instalación concreto para soleras planas 25MPa, construcción de caz de residuos peligrosos, instalación de ductos para redes eléctricas MT, construcción de cárcamos para telecomunicaciones e ITS. Portal Santa Fe.
</t>
    </r>
  </si>
  <si>
    <t xml:space="preserve">  PK1+120 - UF3.1D -Excavación para construcción de dren colector de Ø = 400 mm. Portal Medellín (hastial izquierdo).</t>
  </si>
  <si>
    <t xml:space="preserve"> PK2+165 - UF3.1D - Construcción de dren colector de Ø = 400 mm. Portal Medellín (hastial derecho).</t>
  </si>
  <si>
    <t xml:space="preserve"> PK2+300 - UF3.1D - Pateros sin concreto lanzado de sostenimiento. Portal Medellín (hastial izquierdo).</t>
  </si>
  <si>
    <t xml:space="preserve"> PK2+090 - UF3.1D -Excavación para construcción de dren colector de Ø = 400 mm. Portal Medellín (hastial izquierdo).</t>
  </si>
  <si>
    <t xml:space="preserve"> PK0+804 - UF3.1D -Instalación de malla electro soldada en Túnel falso. Portal Medellín.</t>
  </si>
  <si>
    <t xml:space="preserve"> PK1+200/240 - UF3.1D -Tratamiento conducción de infiltraciones con manguera Ø = 1/2". Portal Medellín (hastial izquierdo).</t>
  </si>
  <si>
    <t xml:space="preserve"> PK2+090 - UF3.1D - Construcción de dren colector de Ø = 400 mm. Portal Medellín (hastial izquierdo).</t>
  </si>
  <si>
    <t xml:space="preserve">  PK2+140 - UF3.1D -  Construcción de dren colector de Ø = 400 mm. Portal Medellín (hastial derecho).</t>
  </si>
  <si>
    <t xml:space="preserve">  PK2+850/870 - UF3.1D -Tratamiento conducción de infiltraciones con manguera Ø = 1/2". Portal Medellín (hastial izquierdo).</t>
  </si>
  <si>
    <t xml:space="preserve">  PK2+980,30 - PK2+880 - UF3.1D - Instalación CAZ  de residuos contaminantes Ø= 300 mm Portal Medellín (hastial izquierdo).</t>
  </si>
  <si>
    <t xml:space="preserve"> PK5+150 UF3.1D - Instalación de concreto lanzado de revestimiento para relanzado. Portal Santa Fe.</t>
  </si>
  <si>
    <t>PK 3+350 - UF3.1D - Instalación de concreto para cárcamo telecomunicaciones e ITS. Portal Santa Fe (hastial izquierdo).</t>
  </si>
  <si>
    <t xml:space="preserve">  PK3+350 - UF3.1D - Toma de muestras de concreto interventoría, para ensayos de laboratorio (resistencia a la compresión). Portal Santa Fe (hastial izquierdo).</t>
  </si>
  <si>
    <t>PK 2+990 al PK3+595 - UF3.1D - Instalación de acero de refuerzo para cárcamo comunicaciones e ITS. Portal Santa Fe (hastial derecho).</t>
  </si>
  <si>
    <t>PK3+900 - UF3.1D - Toma de muestras de concreto interventoría, para ensayos de laboratorio (resistencia a la compresión). Portal Santa Fe (hastial izquierdo).</t>
  </si>
  <si>
    <t xml:space="preserve"> PK5+410 - UF3.1D - Malla electro soldada para instalación de revestimiento. Portal Santa Fe (hastial izquierdo).</t>
  </si>
  <si>
    <t>PK3+265  - UF3.1D - Instalación de bordillo prefabricado, acero de refuerzo cárcamo telecomunicaciones, cárcamo  ITS y CAZ residuos contaminantes. Portal Santa Fe (hastial izquierdo).</t>
  </si>
  <si>
    <t xml:space="preserve"> PK3+285 - UF3.1D - Instalación acero de refuerzo caja de inspección MT 4Ø6". Portal Santa Fe (hastial derecho).</t>
  </si>
  <si>
    <t xml:space="preserve"> PK3+455 UF3.1D - Instalación de concreto de 25 MPa para cárcamo telecomunicaciones e ITS. Portal Santa Fe (hastial derecho).</t>
  </si>
  <si>
    <t xml:space="preserve">  PK4+380 - UF3.1D - Excavación y nivelación del terreno para instalación CAZ de residuos contaminantes. Portal Santa Fe (hastial izquierdo).</t>
  </si>
  <si>
    <t xml:space="preserve">  PK5+410 - UF3.1D - Pozo de sedimentación en funcionamiento. Portal Santa Fe.</t>
  </si>
  <si>
    <t>En la UF 1: El concesionario en este periodo ejecuto las siguientes actividades: En recorrido de inspección de interventoría, se  evidenció que el concesionario, no ejecutó actividades en este frente de obra activo..
Avance a la fecha UF1: Redes Secas 96%
En la UF3: El concesionario en este periodo ejecuto las siguientes actividades:  En recorrido de inspección de interventoría, se  evidenció que el concesionario, no ejecutó actividades en este frente de obra activo.
Avance a la fecha UF3: Redes Secas 97%.</t>
  </si>
  <si>
    <t>En la UF 1 : En el periodo informado,  En recorrido de inspección de interventoría, se evidenció que el concesionario en el PK12+700, continuó con la construcción caja de inspección en cruce de vía,  para tubería, PEAD 50 mm, .
En la UF 3 : En el periodo informado,  En recorrido de inspección de interventoría, se evidenció que el concesionario,  no ejecutó actividades de traslado de redes húmedas.
Avance a la fecha UF1: Redes húmedas : 95%.
Avance a la fecha UF3: Redes húmedas : 98,0%.</t>
  </si>
  <si>
    <r>
      <rPr>
        <b/>
        <sz val="11"/>
        <rFont val="Calibri"/>
        <family val="2"/>
        <scheme val="minor"/>
      </rPr>
      <t xml:space="preserve">PK12+700. </t>
    </r>
    <r>
      <rPr>
        <sz val="11"/>
        <rFont val="Calibri"/>
        <family val="2"/>
        <scheme val="minor"/>
      </rPr>
      <t>Construcción caja de inspección en cruce de vía,  para tubería, PEAD 50 mm.</t>
    </r>
  </si>
  <si>
    <r>
      <t xml:space="preserve">PK12+700. </t>
    </r>
    <r>
      <rPr>
        <sz val="10"/>
        <color theme="1"/>
        <rFont val="Calibri"/>
        <family val="2"/>
        <scheme val="minor"/>
      </rPr>
      <t>Construcción caja de inspección en cruce de vía,  para tubería, PEAD 50 mm.</t>
    </r>
  </si>
  <si>
    <r>
      <rPr>
        <b/>
        <sz val="10"/>
        <rFont val="Calibri"/>
        <family val="2"/>
        <scheme val="minor"/>
      </rPr>
      <t xml:space="preserve">PK0+000 A PK17+800 ACT 0 a 31 - UF1. </t>
    </r>
    <r>
      <rPr>
        <sz val="10"/>
        <rFont val="Calibri"/>
        <family val="2"/>
        <scheme val="minor"/>
      </rPr>
      <t>No se evidencia actividades de traslado de redes.</t>
    </r>
  </si>
  <si>
    <r>
      <t xml:space="preserve">PK0+000 A PK17+800 ACT 0 a 31 - UF1. </t>
    </r>
    <r>
      <rPr>
        <sz val="10"/>
        <color theme="1"/>
        <rFont val="Calibri"/>
        <family val="2"/>
        <scheme val="minor"/>
      </rPr>
      <t>No se evidencia actividades de traslado de redes.</t>
    </r>
  </si>
  <si>
    <t xml:space="preserve">Se realiza suspensión de energía en Red Monofásica, para traslado Red doble circuito de 44 KV y 13.2KV, se instala cable cubierto ACSR 266.8 para la red 13.2 KV y cable desnudo 1/0  red 44 KV, Sector el Gaitero Actuación 42. </t>
  </si>
  <si>
    <r>
      <rPr>
        <b/>
        <sz val="10"/>
        <rFont val="Calibri"/>
        <family val="2"/>
        <scheme val="minor"/>
      </rPr>
      <t xml:space="preserve">PK 23+700 CI UF2.1-ACT 42. </t>
    </r>
    <r>
      <rPr>
        <sz val="10"/>
        <rFont val="Calibri"/>
        <family val="2"/>
        <scheme val="minor"/>
      </rPr>
      <t xml:space="preserve">Cableado red doble circuito 44 KV y 13.2 KV. </t>
    </r>
  </si>
  <si>
    <r>
      <rPr>
        <b/>
        <sz val="10"/>
        <color theme="1"/>
        <rFont val="Calibri"/>
        <family val="2"/>
        <scheme val="minor"/>
      </rPr>
      <t xml:space="preserve">PK 24+500 CD UF2.1-ACT 42. </t>
    </r>
    <r>
      <rPr>
        <sz val="10"/>
        <color theme="1"/>
        <rFont val="Calibri"/>
        <family val="2"/>
        <scheme val="minor"/>
      </rPr>
      <t>Cableado red doble circuito 44 KV y 13.2 KV.</t>
    </r>
  </si>
  <si>
    <t>Reunión de socialización modificación de licencia ambiental  resolución 0177 a la administración municipal de Sopetrán.</t>
  </si>
  <si>
    <t>Reunión de socialización modificación de licencia ambiental  resolución 0177 a la comunidad del barrio San Vicente, Municipio de San Jerónimo.</t>
  </si>
  <si>
    <t>Actividad de recuperación de espacio publico, en compañía de la Policía Nacional en la vereda La Aldea.</t>
  </si>
  <si>
    <t>Sensibilización sobre cultura vial y comportamientos seguros en la vía con la comunidad del municipio de Anzá.</t>
  </si>
  <si>
    <t>N/A</t>
  </si>
  <si>
    <t>Reunión con la agencia de seguridad vial y demás concesiones viales.</t>
  </si>
  <si>
    <t>Acampamiento social y jurídico a familia objeto de traslado por el proyecto</t>
  </si>
  <si>
    <t>Consultas Previas</t>
  </si>
  <si>
    <t>Reunión de socialización modificación de licencia ambiental  resolución 0177 al CCCN La Puerta.</t>
  </si>
  <si>
    <t>Lugar: UF 2.1  Capacitación personal vinculado al proyecto.</t>
  </si>
  <si>
    <t>Lugar: Virtual, Socialización modificación de licencia ambiental res 0177 a la administración municipal de Sopetrán.</t>
  </si>
  <si>
    <t>Lugar: Barrio San Vicente,  Socialización modificación de licencia ambiental res 0177.</t>
  </si>
  <si>
    <t>Lugar: Vereda La Aldea, Actividad de recuperación de espacio publico, en alianza con la Policía Nacional.</t>
  </si>
  <si>
    <t>Lugar: Municipio de Anzá, sensibilización a la comunidad sobre cultura vía, y comportamientos adecuados en la vía.</t>
  </si>
  <si>
    <t>Lugar: Virtual, Reunión con la agencia de seguridad vial y demás concesiones viales.</t>
  </si>
  <si>
    <t>Lugar: Vereda Llanos de San Juan. Acompañamiento jurídico y social a familia objeto de traslado por el proyecto.</t>
  </si>
  <si>
    <t>Lugar: CCCN La Puerta, Socialización de modificación de licencia ambiental res 0177.</t>
  </si>
  <si>
    <t xml:space="preserve">
Seguimiento Fichas: 
UF1y 3:PMB 04, PMF 12, PMF 13, PMF 05.  
UF 2.1:PMB 04, PMB 01, PMB 05, PMF 01.
Operación y Mantenimiento:PGH-3.2-10, PBSE-4.1-11, PAC-2.4-07.
Mejoramiento: PGH-3.1-09, PAC-2.5-08, PGH-3.2-10, PMIT-5.1-15, PAC-2.1-04, PAC-2.3-06.
</t>
  </si>
  <si>
    <t>del 17-02-21 al 23-02-21</t>
  </si>
  <si>
    <t>1y 2.1</t>
  </si>
  <si>
    <t>Acompañamiento visita de seguimiento Corantioquia verificación estado expedientes de ocupación de cauce autorizados en el marco del PAGA de mejoramiento de la Calzada existente.</t>
  </si>
  <si>
    <t>Corantioquia, DEVIMAR y ÉPSILON4G</t>
  </si>
  <si>
    <t>1,2,3</t>
  </si>
  <si>
    <t>Avance respuesta a las observaciones generadas por la ANI al informe mensual de Interventoría correspondiente al periodo de enero de 2021</t>
  </si>
  <si>
    <t>del 18-02-21 al 23-02-21</t>
  </si>
  <si>
    <t>Revisión correspondencia ambiental recibida al 18-02-2021 y actualización cuadros de control y  formatos de seguimiento</t>
  </si>
  <si>
    <t>1,2,3,4,</t>
  </si>
  <si>
    <t>Seguimiento estado compensaciones proyecto autopistas al mar 1</t>
  </si>
  <si>
    <t>DEVIMAR y ÉPSILON4G</t>
  </si>
  <si>
    <t>Elaboración informe semanal 280 y diligenciamiento Formato R-CEC-22 "Registro fotográfico"</t>
  </si>
  <si>
    <r>
      <t xml:space="preserve">1. ÁREA AMBIENTAL:
CONCLUSIONES:
</t>
    </r>
    <r>
      <rPr>
        <sz val="11"/>
        <color theme="1"/>
        <rFont val="Arial"/>
        <family val="2"/>
      </rPr>
      <t>Continua pendiente por el MADS trasladar la totaliad de los expedientes de veda nacional a las autoridades competentes ANLA y Corantioquia.</t>
    </r>
    <r>
      <rPr>
        <b/>
        <sz val="11"/>
        <color theme="1"/>
        <rFont val="Arial"/>
        <family val="2"/>
      </rPr>
      <t xml:space="preserve">
 RECOMENDACIONES
</t>
    </r>
    <r>
      <rPr>
        <sz val="11"/>
        <color theme="1"/>
        <rFont val="Arial"/>
        <family val="2"/>
      </rPr>
      <t>A la ANI apoyar la gestión ante ANLA para vanzar en la aprobación de los plande de rehabilitacion ecológica y ante al MADS para que finalice el traslado de los expedientes de veda nacional, ante las autoridades competentes.
A la ANI apoyar la Gestión ante el Municipio de Medellín para la viabilizarían de adquisición y posterior entrega del predio el Boquerón.</t>
    </r>
    <r>
      <rPr>
        <b/>
        <sz val="11"/>
        <color theme="1"/>
        <rFont val="Arial"/>
        <family val="2"/>
      </rPr>
      <t xml:space="preserve">
</t>
    </r>
    <r>
      <rPr>
        <sz val="11"/>
        <color theme="1"/>
        <rFont val="Arial"/>
        <family val="2"/>
      </rPr>
      <t xml:space="preserve">  
</t>
    </r>
    <r>
      <rPr>
        <b/>
        <sz val="11"/>
        <color theme="1"/>
        <rFont val="Arial"/>
        <family val="2"/>
      </rPr>
      <t xml:space="preserve">2. ÁREA PUENTES:
</t>
    </r>
    <r>
      <rPr>
        <sz val="11"/>
        <color theme="1"/>
        <rFont val="Arial"/>
        <family val="2"/>
      </rPr>
      <t>Las actividasdes resaltadas en rojo, son las que se realizaron esta semana en los puentes que están activos.</t>
    </r>
  </si>
  <si>
    <r>
      <t xml:space="preserve">1. Construcción UF 2.1-Predio la Cangreja
PMB 04 Manejo de flora: </t>
    </r>
    <r>
      <rPr>
        <sz val="11"/>
        <color theme="1"/>
        <rFont val="Calibri"/>
        <family val="2"/>
        <scheme val="minor"/>
      </rPr>
      <t>Se realizó un recorrido general con el fin de inspeccionar los individuos que fueron establecidos
como compensación por los aprovechamientos forestales, en dicho recorrido se evidenció individuos con buen porte y con adecuado desarrollo,
destacándose individuos de la especie conocida comúnmente como cedro amarillo o Samán.</t>
    </r>
  </si>
  <si>
    <r>
      <t xml:space="preserve">2. Operación y Mantenimiento UF 4-Unidad satelital Anzá
PGH-3.2-10 Manejo de residuos líquidos domésticos e industriales: </t>
    </r>
    <r>
      <rPr>
        <sz val="11"/>
        <color theme="1"/>
        <rFont val="Calibri"/>
        <family val="2"/>
        <scheme val="minor"/>
      </rPr>
      <t>Se realizó mantenimiento periódico a la trampa de grasas, pozo séptico y FAFA, estos mantenimientos son realizados por la empresa STAP.</t>
    </r>
  </si>
  <si>
    <t>b</t>
  </si>
  <si>
    <r>
      <t xml:space="preserve">3. Operación y Mantenimiento UF 4-Unidad satelital Anzá
PBSE-4.1-11 Manejo de descapote y cobertura vegetal: </t>
    </r>
    <r>
      <rPr>
        <sz val="11"/>
        <color theme="1"/>
        <rFont val="Calibri"/>
        <family val="2"/>
        <scheme val="minor"/>
      </rPr>
      <t>Se termina de manera temporal trozado  y chipeado de madera en la unidad satelital Anzá, el material que no se pudo terminar de trozar, ni chipear, se deja acopiado y señalizado.
Además se realizan tareas de demarcación de acopios de material vegetal, zona de chipeado y zona de almacenamiento de este material.</t>
    </r>
  </si>
  <si>
    <r>
      <t xml:space="preserve">4. Operación y mantenimiento UF 4-PR 53+500
 PAC-2.4-07 Manejo y disposición de sobrantes: </t>
    </r>
    <r>
      <rPr>
        <sz val="11"/>
        <color theme="1"/>
        <rFont val="Calibri"/>
        <family val="2"/>
        <scheme val="minor"/>
      </rPr>
      <t>El Concesionario realizó actividades de recolección de materiales producto de derrumbes y posterior limpieza de cunetas y obras transversales, todo el material es acopiado lejos de cauces naturales hasta alcanzar volúmenes considerables para ser  transportado hasta el ZODME autorizado.</t>
    </r>
  </si>
  <si>
    <r>
      <t>5. Construcción UF 1-Hacienda la Luz
PMB 04 Manejo de flora:</t>
    </r>
    <r>
      <rPr>
        <sz val="11"/>
        <color theme="1"/>
        <rFont val="Calibri"/>
        <family val="2"/>
        <scheme val="minor"/>
      </rPr>
      <t xml:space="preserve"> Se realizó reubicación en la hacienda la Luz en el  polígono correspondiente a la resolución 0692 de la licencia.</t>
    </r>
  </si>
  <si>
    <r>
      <t>6. Construcción  UF 2.1-PK 26+000
PMB 01 Manejo de fauna silvestre:</t>
    </r>
    <r>
      <rPr>
        <sz val="11"/>
        <color theme="1"/>
        <rFont val="Calibri"/>
        <family val="2"/>
        <scheme val="minor"/>
      </rPr>
      <t xml:space="preserve"> El concesionario realiza el rescate y atención de individuos que no responden al ahuyentamiento o que son hallados/reportados en los diferentes frentes de obra. Las labores de salvamento de fauna se ponen en práctica, cuando los individuos recuperados durante las actividades de ahuyentamiento y remoción de fauna sufren algún tipo de accidente o cuando no se desplazan con facilidad; se deben anotar también registros fotográficos de cada especie encontrada.</t>
    </r>
  </si>
  <si>
    <r>
      <t>7. Construcción UF 1 Y 3-Predio la Botella
PMB 04 Manejo de flora:</t>
    </r>
    <r>
      <rPr>
        <sz val="11"/>
        <color theme="1"/>
        <rFont val="Calibri"/>
        <family val="2"/>
        <scheme val="minor"/>
      </rPr>
      <t xml:space="preserve"> Revisión de helechos sembrados el 9 de febrero, en el cual se registró el desarrollo de las nuevas frondas y adaptación a la nueva área.</t>
    </r>
  </si>
  <si>
    <r>
      <t xml:space="preserve"> 8. Construcción UF 2.1-PK33+500 
PMB 01 Manejo de fauna silvestre: </t>
    </r>
    <r>
      <rPr>
        <sz val="11"/>
        <color theme="1"/>
        <rFont val="Calibri"/>
        <family val="2"/>
        <scheme val="minor"/>
      </rPr>
      <t>El concesionario realiza el rescate y atención de individuos que no responden al ahuyentamiento o que son hallados/reportados en los diferentes frentes de obra. Las labores de salvamento de fauna se ponen en práctica, cuando los individuos recuperados durante las actividades de ahuyentamiento y remoción de fauna sufren algún tipo de accidente o cuando no se desplazan con facilidad; se deben anotar también registros fotográficos de cada especie encontrada. Se realiza rescate de Boa juvenil.</t>
    </r>
  </si>
  <si>
    <r>
      <t xml:space="preserve">9. Construcción UF 1 Y 3-Predio la Botella
PMB 04 Manejo de flora: </t>
    </r>
    <r>
      <rPr>
        <sz val="11"/>
        <color theme="1"/>
        <rFont val="Calibri"/>
        <family val="2"/>
        <scheme val="minor"/>
      </rPr>
      <t>Se inicia reubicación de helechos predio la botella correspondientes a la resolución 2241.</t>
    </r>
  </si>
  <si>
    <r>
      <t>10. Operación y mantenimiento UF 1-PK 13  
PBSE-4.1-11  Manejo de descapote y cobertura vegetal:</t>
    </r>
    <r>
      <rPr>
        <sz val="11"/>
        <color theme="1"/>
        <rFont val="Calibri"/>
        <family val="2"/>
        <scheme val="minor"/>
      </rPr>
      <t xml:space="preserve"> Se realizaron actividades de rocería al interior de PK13.</t>
    </r>
  </si>
  <si>
    <r>
      <t xml:space="preserve">11.Construcción UF 1-PK 13
PMB 05 Manejo de aprovechamiento forestal: </t>
    </r>
    <r>
      <rPr>
        <sz val="11"/>
        <rFont val="Calibri"/>
        <family val="2"/>
        <scheme val="minor"/>
      </rPr>
      <t>Se realizó capacitación de primeros auxilios  con énfasis en accidente ofídico, esto al grupo de aprovechamiento forestal.</t>
    </r>
    <r>
      <rPr>
        <b/>
        <sz val="11"/>
        <rFont val="Calibri"/>
        <family val="2"/>
        <scheme val="minor"/>
      </rPr>
      <t xml:space="preserve"> </t>
    </r>
  </si>
  <si>
    <r>
      <t xml:space="preserve">12. Construcción UF 1-Quebrada la Volcana
PMF 12 Manejo de aguas superficiales: </t>
    </r>
    <r>
      <rPr>
        <sz val="11"/>
        <color theme="1"/>
        <rFont val="Calibri"/>
        <family val="2"/>
        <scheme val="minor"/>
      </rPr>
      <t>Se realiza monitoreo de aforo en la quebrada la Volcana  por parte del laboratorio certificado MCS, se utiliza el método área x velocidad empleando un molinete y contador.</t>
    </r>
  </si>
  <si>
    <r>
      <t>13. Construcción UF 1 Y 3-Manantial M7-04.
PMF 13 Manejo de aguas subterráneas y manantiales:</t>
    </r>
    <r>
      <rPr>
        <sz val="11"/>
        <color theme="1"/>
        <rFont val="Calibri"/>
        <family val="2"/>
        <scheme val="minor"/>
      </rPr>
      <t xml:space="preserve"> El laboratorio certificado MCS realizó el monitoreo de aguas subterráneas, en el manantial M7-04.</t>
    </r>
  </si>
  <si>
    <r>
      <t xml:space="preserve">14.Construcción UF 1 Y 3-Piezómetro PZ-08
PMF 13 Manejo de aguas subterráneas y manantiales: </t>
    </r>
    <r>
      <rPr>
        <sz val="11"/>
        <color theme="1"/>
        <rFont val="Calibri"/>
        <family val="2"/>
        <scheme val="minor"/>
      </rPr>
      <t>El laboratorio certificado MCS realizó el monitoreo de aguas subterráneas, en el piezómetro PZ-08.</t>
    </r>
  </si>
  <si>
    <r>
      <t xml:space="preserve">15.Construcción UF 1-PK 10+200
PMF 05  Manejo de combustibles y lubricantes: </t>
    </r>
    <r>
      <rPr>
        <sz val="11"/>
        <color theme="1"/>
        <rFont val="Calibri"/>
        <family val="2"/>
        <scheme val="minor"/>
      </rPr>
      <t>Se realizó abastecimiento de combustible, teniendo en cuenta las medidas necesarias para no generar derrames</t>
    </r>
    <r>
      <rPr>
        <b/>
        <sz val="11"/>
        <color theme="1"/>
        <rFont val="Calibri"/>
        <family val="2"/>
        <scheme val="minor"/>
      </rPr>
      <t>.</t>
    </r>
  </si>
  <si>
    <r>
      <t xml:space="preserve">16. Mejoramiento UF 2.1-Puente el Sable
PGH-3.1-09 Ocupaciones de cauce: </t>
    </r>
    <r>
      <rPr>
        <sz val="11"/>
        <color theme="1"/>
        <rFont val="Calibri"/>
        <family val="2"/>
        <scheme val="minor"/>
      </rPr>
      <t>Se realiza repotenciación en el puente el Sable, teniendo en cuenta las medidas para no afectar la fuente hídrica.</t>
    </r>
  </si>
  <si>
    <r>
      <rPr>
        <b/>
        <sz val="11"/>
        <rFont val="Calibri"/>
        <family val="2"/>
        <scheme val="minor"/>
      </rPr>
      <t>17. Mejoramiento UF 2.1-PK 19+500</t>
    </r>
    <r>
      <rPr>
        <sz val="11"/>
        <rFont val="Calibri"/>
        <family val="2"/>
        <scheme val="minor"/>
      </rPr>
      <t xml:space="preserve">
</t>
    </r>
    <r>
      <rPr>
        <b/>
        <sz val="11"/>
        <rFont val="Calibri"/>
        <family val="2"/>
        <scheme val="minor"/>
      </rPr>
      <t>PAC-2.5-08  Manejo de residuos sólidos convencionales y especiales:</t>
    </r>
    <r>
      <rPr>
        <sz val="11"/>
        <rFont val="Calibri"/>
        <family val="2"/>
        <scheme val="minor"/>
      </rPr>
      <t xml:space="preserve"> Se cuenta con puntos ecológicos los cuales están separados por colores, para realizar la correcta separación en la fuente.</t>
    </r>
  </si>
  <si>
    <r>
      <rPr>
        <b/>
        <sz val="11"/>
        <color theme="1"/>
        <rFont val="Calibri"/>
        <family val="2"/>
        <scheme val="minor"/>
      </rPr>
      <t>18. Mejoramiento UF 2.1-PK 19+500</t>
    </r>
    <r>
      <rPr>
        <sz val="11"/>
        <color theme="1"/>
        <rFont val="Calibri"/>
        <family val="2"/>
        <scheme val="minor"/>
      </rPr>
      <t xml:space="preserve">
</t>
    </r>
    <r>
      <rPr>
        <b/>
        <sz val="11"/>
        <color theme="1"/>
        <rFont val="Calibri"/>
        <family val="2"/>
        <scheme val="minor"/>
      </rPr>
      <t>PGH-3.2-10 Manejo de residuos líquidos domésticos e industriales:</t>
    </r>
    <r>
      <rPr>
        <sz val="11"/>
        <color theme="1"/>
        <rFont val="Calibri"/>
        <family val="2"/>
        <scheme val="minor"/>
      </rPr>
      <t xml:space="preserve"> Todos los frentes cuenta con baños portátiles de acuerdo al N.º de operarios( 1 baño por cada 15 operarios) y divididos por genero.
-Se realizan mantenimientos a los baños portátiles de forma semanal, estos mantenimientos son realizados por la empresa STAP.</t>
    </r>
  </si>
  <si>
    <r>
      <rPr>
        <b/>
        <sz val="11"/>
        <rFont val="Calibri"/>
        <family val="2"/>
        <scheme val="minor"/>
      </rPr>
      <t>19. Mejoramiento UF 2.1-PK 19+500</t>
    </r>
    <r>
      <rPr>
        <sz val="11"/>
        <rFont val="Calibri"/>
        <family val="2"/>
        <scheme val="minor"/>
      </rPr>
      <t xml:space="preserve">
</t>
    </r>
    <r>
      <rPr>
        <b/>
        <sz val="11"/>
        <rFont val="Calibri"/>
        <family val="2"/>
        <scheme val="minor"/>
      </rPr>
      <t>PMIT-5.1-15 Instalación, funcionamiento y desmantelamiento de infraestructura en frentes de obra y sitios de acopio temporal:</t>
    </r>
    <r>
      <rPr>
        <sz val="11"/>
        <rFont val="Calibri"/>
        <family val="2"/>
        <scheme val="minor"/>
      </rPr>
      <t xml:space="preserve"> La zona está señalizada, diferenciando cada una de las áreas que lo conforman. Las áreas temporales cuentan con señales tales como: salidas de emergencia, ubicación de extintores, almacén, uso de elementos de protección personal y todas aquellas que se requieran para la prevención de accidentes, de acuerdo al panorama de riesgos y plan de contingencia.</t>
    </r>
  </si>
  <si>
    <r>
      <rPr>
        <b/>
        <sz val="11"/>
        <color theme="1"/>
        <rFont val="Calibri"/>
        <family val="2"/>
        <scheme val="minor"/>
      </rPr>
      <t>20. Mejoramiento UF 2.1-PK 21+350
PAC-2.1-04 Manejo integral de materiales de construcción:</t>
    </r>
    <r>
      <rPr>
        <sz val="11"/>
        <color theme="1"/>
        <rFont val="Calibri"/>
        <family val="2"/>
        <scheme val="minor"/>
      </rPr>
      <t xml:space="preserve"> Se asegura que el equipo de fabricación o mezclado, esté en buenas condiciones técnicas con el fin de evitar accidentes o derrames que puedan afectar los recursos naturales o el medio ambiente</t>
    </r>
  </si>
  <si>
    <r>
      <rPr>
        <b/>
        <sz val="11"/>
        <color theme="1"/>
        <rFont val="Calibri"/>
        <family val="2"/>
        <scheme val="minor"/>
      </rPr>
      <t>21. Mejoramiento UF 2.1-PK 19+500
PAC-2.3-06 Señalización de frentes de obra y sitios temporales:</t>
    </r>
    <r>
      <rPr>
        <sz val="11"/>
        <color theme="1"/>
        <rFont val="Calibri"/>
        <family val="2"/>
        <scheme val="minor"/>
      </rPr>
      <t xml:space="preserve"> Todos los elementos utilizados para la demarcación de la obra se encuentran limpios y bien colocados durante todo el transcurso de esta.</t>
    </r>
  </si>
  <si>
    <r>
      <rPr>
        <b/>
        <sz val="11"/>
        <color theme="1"/>
        <rFont val="Calibri"/>
        <family val="2"/>
        <scheme val="minor"/>
      </rPr>
      <t>22.Operación y mantenimiento-PK 24+400</t>
    </r>
    <r>
      <rPr>
        <sz val="11"/>
        <color theme="1"/>
        <rFont val="Calibri"/>
        <family val="2"/>
        <scheme val="minor"/>
      </rPr>
      <t xml:space="preserve">
</t>
    </r>
    <r>
      <rPr>
        <b/>
        <sz val="11"/>
        <color theme="1"/>
        <rFont val="Calibri"/>
        <family val="2"/>
        <scheme val="minor"/>
      </rPr>
      <t xml:space="preserve">PAC-2.4-07 Manejo y disposición de sobrantes: </t>
    </r>
    <r>
      <rPr>
        <sz val="11"/>
        <color theme="1"/>
        <rFont val="Calibri"/>
        <family val="2"/>
        <scheme val="minor"/>
      </rPr>
      <t>El concesionario realizó retiro de material estéril producto de derrumbe, este es transportado hasta el ZODME Luis Fernando Molina el cual se encuentra autorizado.</t>
    </r>
  </si>
  <si>
    <r>
      <rPr>
        <b/>
        <sz val="11"/>
        <color theme="1"/>
        <rFont val="Calibri"/>
        <family val="2"/>
        <scheme val="minor"/>
      </rPr>
      <t xml:space="preserve">23. Construcción UF 2.1-PK 28+800
PMF 01 Conservación y restauración de la estabilidad geotécnica: </t>
    </r>
    <r>
      <rPr>
        <sz val="11"/>
        <color theme="1"/>
        <rFont val="Calibri"/>
        <family val="2"/>
        <scheme val="minor"/>
      </rPr>
      <t xml:space="preserve">El concesionario  realiza humectación constante al talud, para garantizar la correcta revegetalización. </t>
    </r>
  </si>
  <si>
    <r>
      <rPr>
        <b/>
        <sz val="11"/>
        <color theme="1"/>
        <rFont val="Calibri"/>
        <family val="2"/>
        <scheme val="minor"/>
      </rPr>
      <t>24.Operación y mantenimiento UF 2.2-PR 112+100</t>
    </r>
    <r>
      <rPr>
        <sz val="11"/>
        <color theme="1"/>
        <rFont val="Calibri"/>
        <family val="2"/>
        <scheme val="minor"/>
      </rPr>
      <t xml:space="preserve">
</t>
    </r>
    <r>
      <rPr>
        <b/>
        <sz val="11"/>
        <color theme="1"/>
        <rFont val="Calibri"/>
        <family val="2"/>
        <scheme val="minor"/>
      </rPr>
      <t xml:space="preserve"> PAC-2.4-07 Manejo y disposición de sobrantes:</t>
    </r>
    <r>
      <rPr>
        <sz val="11"/>
        <color theme="1"/>
        <rFont val="Calibri"/>
        <family val="2"/>
        <scheme val="minor"/>
      </rPr>
      <t xml:space="preserve"> El Concesionario realizó actividades de recolección de materiales producto de derrumbes y posterior limpieza de cunetas y obras transversales, todo el material es acopiado lejos de cauces naturales hasta alcanzar volúmenes considerables para ser  transportado hasta el ZODME autorizado.</t>
    </r>
  </si>
  <si>
    <t>18/02/2021-24/02/2021</t>
  </si>
  <si>
    <t>UF1 Y UF2</t>
  </si>
  <si>
    <t xml:space="preserve">ENVÍO OFICIO EPS4G-0214-21 RESPUESTA A COMUNICADOS 02-01-20210202000291 (EPS4G-0075-21) REFERENTE AL ESTIMATIVO DE COSTOS PREDIALES POR MODIFICACIONES DE DISEÑO Y COMUNICADO 02-01-20210203000324, RELACIONADO CON ALCANCE RESPUESTA 02-01-20210202000291 DEL 2 DE FEBRERO 2021 (EPS4G-0075-21). </t>
  </si>
  <si>
    <t xml:space="preserve">La Interventoría indica que el comunicado EPS4G-0075-21 no solo hace alución al tema Predial sino tambien a las valoraciones de obras, lo cual sera base para la elaboración del Documento de Transacción que se suscribirá entre las partes con motivo de las modificaciones a Diseños Viales y disminución del Separador Central en el tramo 2.1 de la Unidad Funcional 2.0. Respecto al comunicado 02-01-20210203000324, la Interventoría reitera, que es importante y necesario para el Documento de Transacción, contar con las valoraciones de cada Predio (lo que no se usará, lo que se adicionará y lo nuevo, así como la gestión adelantada para cada uno). </t>
  </si>
  <si>
    <t>ENVÍO OFICIO EPS4G-0226-21 EN RESPUESTA AL OFICIO 02-01-20210205000341.</t>
  </si>
  <si>
    <t>La Interventoría dejó en observación la modificación de la Ficha Predial del Predio MAR1_UF1_083.</t>
  </si>
  <si>
    <t>ENVÍO OFICIO EPS4G-0227-21 EN RESPUESTA AL OFICIO 02-01-20210205000342.</t>
  </si>
  <si>
    <t>La Interventoría manifiesta que dara Alcance al presente oficio una vez se haya realizado el comité solicitado por el Concesionario y por el Consorcio MAR1 con la ANI y la Interventoría, en el cual sera objeto de análisis el Predio MAR1_UF1_121A.</t>
  </si>
  <si>
    <t>REUNIÓN ÁREAS ADICIONALES</t>
  </si>
  <si>
    <t>Se realizó reunión virtual entre Concesionario, ANI e Interventoría para tratar el tema de Áreas Adicionales por Modificación al Diseño.</t>
  </si>
  <si>
    <t>REMISORIO 061 INFORME DE LA INTERVENTORÍA FRENTE A LA SOLICITUD DE AMIGABLE COMPONEDOR REALIZADA POR EL CONCESIONARIO, FRENTE A LOS EFECTOS GENERADOS POR LOS CONFLICTOS DE COMPETENCIA EN PROCESOS DE EXPROPIACIÓN, SURGIDOS EN CUATRO (4) PREDIOS DEL PROYECTO MAR1.</t>
  </si>
  <si>
    <t>La interventoría en atención a solicitud de la ANI, presenta Informe del estado de los Predios (MAR1_UF2_099, MAR1_UF2_159, MAR1_UF2_172 y MAR1_UF2_189) referidos en el Memorial de Solicitud de Amigable Componedor, frente a las afectaciones en relación al Plan de Obras y consecuente Cronograma de Adquisición de Predios.</t>
  </si>
  <si>
    <t>REMISORIO 056 SOLICITUD DE INFORMACIÓN PARA GENERAR RESPUESTA A DERECHO DE PETECIÓN</t>
  </si>
  <si>
    <t>La Interventoría a fín de generar respuesta oportuna a dos (2) derechos de petición interpuestos por el señor Hugo Armando Graciano, le solicita al Concesionario le suministre información correspondiente al Predio MAR1_UF1_190. También se le recuerda al Concesionario que una de sus obligaciones Prediales descritas en el Apendice Técnico 7 Numeral 7.1 literal (u) indica "Dar respuesta en forma clara, veraz, precisa y dentro de los términos de la ley, a las solicitudes que sobre el proceso de adquisición Predial  su cargo realicen los propietarios, personas naturales o juridicas, entidades estatales, o cualquier otro interesado, remitiendo copia de la misma a la Interventoría y la ANI.</t>
  </si>
  <si>
    <t>REMISORIO 057 RESPUESTA AL OFICIO 02-01-20210209000375 NOTIFICACIÓN DE UN EVENTO EXISTENTE DE RESPONSABILIDAD QUE IMPIDE EL CUMPLIMIENTO DE LAS OBLIGACIONES CONTRACTUALES A CARGO DE LA CONCESIONARIA CON OCACIÓN DE LA FUERZA MAYOR PREDIAL ASOCIADA AL PREDIO 177 UBICADO EN EL SUBSECTOR 2.1 DE LA UNIDAD FUNCIONAL 2.</t>
  </si>
  <si>
    <t>La Interventoría advierte, que esta NO hace parte del Contrato de Concesión, por tanto, nos damos por enterados de los hechos y circunstancias que el Concesionario refiere se constituye en un Evento Eximente de responsabilidad, razón por la cual emitimos nuestro concepto a la ANI mediante oficio EPS4G-0194-21 de fecha 15/02/2021, no sin antes advertir que el mismo no es vinculante, dado que solo compete a la Agencia como parte del contrato, manifestar si acepta o no el EER.</t>
  </si>
  <si>
    <t>REMISORIO 058 CONCEPTO JURIDICO FRENTE A LOS INFORMES SEMANALES NÚMERO 1 Y 2 PARA LOS PERIODOS COMPRENDIDOS ENTRE EL 9 AL 15 DE FEBRERO Y EL 16 AL 22 DE FEBRERO DE 2021 FRENTE AL EVENTO EXIMENTE DE RESPONSABILIDAD CON RELACIÓN AL PREDIO MAR1_UF2_177, COMUNICADOS DEL CONCESIONARIIO NÚMEROS 02-01-20210215000423 Y 02-01-20210222000511.</t>
  </si>
  <si>
    <t>La Interventoría en su respuesta al Concesionario, le informa que no ha determinado la aceptación del EER, y además menciona que a la fecha, la ANI tampoco se ha pronunciado respecto si acepta o no la ocurrencia del Evento Eximente de Responsabilidad.En consecuencia, esta interventoría deja claridad que a la fecha no se ha conceptuado sobre reparación alguna por el evento notificado por el concesionario, y por tanto, el informe solo tiene  efectos en el sentido de comunicar las actuaciones realizadas por éste para atenuar, disminuir y cumplir con sus obligaciones contractuales.</t>
  </si>
  <si>
    <t>REMISORIO 059 SOLICITUD DE INFORMACIÓN Y RESPUESTA A OBJECIONES PRESENTADAS A LA OFC, PREDIO UF1_198A.</t>
  </si>
  <si>
    <t>La Interventoría solicita al Concesionario aporte copia de la correspondencia cruzada en relación con la Oferta Formal de Compra del Predio MAR1_UF1_198A (objeción y respuesta) en especial copia de la respuesta al comunicado que envió la propietaria al Concesionario el 2 de febrero de 2021.</t>
  </si>
  <si>
    <t>Durante la presente semana se reciben los reportes de las operadoras con respecto a los incidentes y accidentes ocurridos en las unidades funcionales del proyecto. Se presentaron dieciocho (18) accidentes con cuatro (4) lesionados y cero (0) fallecidos.
- Se continua con la prestación de los servicios de  los vehículos de operación del Túnel de Occidente, en las vías concesionadas y en las bases de operación de Anzá y Manglar se prestan los servicios de manera normal.
- Se  realiza la revisión de los niveles de Monóxido de Carbono (CO) , así como los niveles de visibilidad del túnel de occidente.
- Se realiza inspección de teléfonos S.O.S. y los nichos de auxilio del Túnel de Occidente .
- Se realiza inspección del poste S.O.S. de la UF4 encontrándose en funcionamiento.</t>
  </si>
  <si>
    <t>Actividades de Operación ejecutadas en la Fase de Construcción
Semana 280</t>
  </si>
  <si>
    <r>
      <rPr>
        <b/>
        <sz val="11"/>
        <rFont val="Arial"/>
        <family val="2"/>
      </rPr>
      <t>Ruta 6204 San Jerónimo - Túnel de Occidente</t>
    </r>
    <r>
      <rPr>
        <sz val="11"/>
        <rFont val="Arial"/>
        <family val="2"/>
      </rPr>
      <t xml:space="preserve">
- Actividades de Rocería. 
- Actividades de limpieza de cunetas y Obras transversales.
- Desvío en el PR20+200 al PR20+900 se encuentran transitables.
- Desvío en el PR22+200 al PR23+900 se encuentran transitables.
- Desvío en el PR24+400 al PR 25+900 se encuentran transitables.
- Desvío en el PR30+100 al PR30+300 se encuentran transitables.
- Desvío en el PR30+800 al PR32+200 se encuentran transitables.
- Desvío en el PR35+300 al PR39+000 se encuentran transitables.
- Zona Inestable PR34+900 se presenta estable.
- Se realiza control vehicular PR25+900, PR26+900, PR27+900, PR30+100 y PR35+200.</t>
    </r>
  </si>
  <si>
    <t>Ruta 6203 Cañasgordas - Santafé de Antioquia.
-  Actividades de Rocería del PR70+000 al PR78+000 Márgenes IZQ. y DER
-  Limpieza de Cunetas y Calzada del PR100+000 al PR103+000.
-  Limpieza de obras transversales PR73+700.
-  Actividades de control de Policía de Carreteras PR114+900.
-  Zona Inestable del PR97+500 se encuentra estable.
-  La Vía se encuentra Transitable.
-  Se realiza reparación de la Junta del puente PR108+000.
-  Se inicia auscultación del pavimento PR91+200.</t>
  </si>
  <si>
    <r>
      <rPr>
        <b/>
        <sz val="11"/>
        <rFont val="Arial"/>
        <family val="2"/>
      </rPr>
      <t>Ruta 6204 Túnel de Occidente - Medellín.</t>
    </r>
    <r>
      <rPr>
        <sz val="11"/>
        <rFont val="Arial"/>
        <family val="2"/>
      </rPr>
      <t xml:space="preserve">
-  Se realiza control vehicular para el paso de sustancias peligrosas para el ingreso al túnel en el portal Santafé y portal Medellín en los horarios establecidos.
-  El Peaje de Aburra PR45+200. Se encuentra en Operación Normal.
-  Se realiza seguimiento a la zona inestable del PR45+000 y se observa que no presenta movimientos.
-  Limpieza de obras de drenaje.
-  Grúa y Ambulancia disponibles CCO.
-  Actividades Policía de Carreteras PR45+500.
-  Se continua con las actividades de Rehabilitación con el fresado de la Calzada derecha PR45+250 al PR45+450 y con la instalación de mezcla asfáltica.</t>
    </r>
  </si>
  <si>
    <r>
      <rPr>
        <b/>
        <sz val="11"/>
        <rFont val="Arial"/>
        <family val="2"/>
      </rPr>
      <t xml:space="preserve">Ruta 6204  Santa Fe de Antioquia - San Jerónimo
</t>
    </r>
    <r>
      <rPr>
        <sz val="11"/>
        <color rgb="FFFF0000"/>
        <rFont val="Arial"/>
        <family val="2"/>
      </rPr>
      <t xml:space="preserve">
</t>
    </r>
    <r>
      <rPr>
        <sz val="11"/>
        <rFont val="Arial"/>
        <family val="2"/>
      </rPr>
      <t>-  Actividades de limpieza de cunetas.
-  Actividades de Rocería.
-  Limpieza de márgenes y calzada.
-  Actividades de limpieza de obras transversales.
-  La vía se encuentra en funcionamiento Normal.
-  Desvío en el PR08+200 al PR08+800. Normal Funcionamiento.
-  Desvío en el PR10+300 al PR11+000. Normal Funcionamiento.
-  Desvío en el PR12+000 al PR13+100. Normal Funcionamiento.
-  Desvío en el PR15+000 al PR15+800. Normal Funcionamiento.
-  Desvío en el PR16+080 al PR17+900. Normal Funcionamiento.
-  Desvío en el PR18+700 al PR19+900. Normal Funcionamiento.
-  Desvío en el PR20+050 al PR20+200. Normal Funcionamiento.</t>
    </r>
  </si>
  <si>
    <r>
      <rPr>
        <b/>
        <sz val="11"/>
        <rFont val="Arial"/>
        <family val="2"/>
      </rPr>
      <t xml:space="preserve">Ruta 25B02 Bolombolo (Venecia) - Santa Fe de Antioquia.
</t>
    </r>
    <r>
      <rPr>
        <sz val="11"/>
        <rFont val="Arial"/>
        <family val="2"/>
      </rPr>
      <t xml:space="preserve">
- La Vía se encuentra en Operación Normal.
- Limpieza de Cunetas y Calzada PR25+000 al PR38+000, PR43+000 al PR45+000 y PR62+000 al PR65+000. 
- Limpieza de Obras transversales PR06+120.
- Se realizan labores de rocería PR28+000 al PR29+000, UF4 PR28+000 al PR29+000 y PR55+000-PR56+000.
</t>
    </r>
    <r>
      <rPr>
        <sz val="11"/>
        <color theme="1"/>
        <rFont val="Arial"/>
        <family val="2"/>
      </rPr>
      <t xml:space="preserve">- Construcción Gavión PR64+200, descole Obra transversal..
- Ambulancia y Grúa Disponibles en  Anzá PR44+900.
</t>
    </r>
    <r>
      <rPr>
        <b/>
        <sz val="11"/>
        <color theme="1"/>
        <rFont val="Arial"/>
        <family val="2"/>
      </rPr>
      <t xml:space="preserve">Ruta 6003 Peñalisa (Salgar) - Bolombolo (Venecia).
</t>
    </r>
    <r>
      <rPr>
        <sz val="11"/>
        <color theme="1"/>
        <rFont val="Arial"/>
        <family val="2"/>
      </rPr>
      <t>- Policía de carreteras en el PR 44+500. Puesto de control.
- Se realizan labores de rocería PR44+200 al PR48+000.
- La Vía se encuentra en Operación Normal.</t>
    </r>
  </si>
  <si>
    <t>UF 4 Ruta 6003 - 46+000 Rocería Margen Izq.</t>
  </si>
  <si>
    <t>UF 4 Ruta 25B02 - PR44+950 
Instalación de Alineadores y Defensas margen izq y der.</t>
  </si>
  <si>
    <t>UF 4 Ruta 25B02 - PR66+300 - Poda de arbustos Margen Izq.</t>
  </si>
  <si>
    <t>UF2.2 Ruta 6203 PR73+700 Limpieza Obra de drenaje transversal.</t>
  </si>
  <si>
    <t>UF2.2 Ruta 6203 PR101+950 Asistencia de Vehículo varado, grúa en servicio.</t>
  </si>
  <si>
    <t>UF2.1 Ruta 6204 A PR18+200 – PR19+500 - Translado de Viga.</t>
  </si>
  <si>
    <t>UF1  Ruta 6204 A PR28+000 - PR28+500 - limpieza de Cuneta.</t>
  </si>
  <si>
    <t>UF1 Ruta 6204 A PR30+100 - PR30+300 - Control vehícular - Reducción de carril.</t>
  </si>
  <si>
    <t>UF3 Ruta 6204 A PR45+250 - PR46+000 Instalación de Carpeta asfáltica en la Calzada derecha.</t>
  </si>
  <si>
    <t>UF3 Ruta 6204 A PR45+400 Instalación de señalización PMt.</t>
  </si>
  <si>
    <t>RESPUESTA A COMUNICACIÓN EPS4G-0026-21 REFERENTE AL DISEÑO DE DETALLE CON SECTORES MODIFICADOS - CONCESIONARIO ANULA D000426 - D000436</t>
  </si>
  <si>
    <t>D-02-01-20210222-000500</t>
  </si>
  <si>
    <t>ENTREGA RESULTADO DE CBR EN SUBRASANTE PARA INSTALACION DE CAPAS GRANULARES DICIEMBRE 2020 Y ENERO 2021</t>
  </si>
  <si>
    <t>D-02-01-20210222-000501</t>
  </si>
  <si>
    <t>RESPUESTA A COMUNICADO EPS4G-0212-21 REFERENTE AL DISEÑO DEL PORTICO DE PROTECCION PARA EL BOX DE LA QUEBRADA LA CULEBRA DE LA UNIDAD FUNCIONAL 3</t>
  </si>
  <si>
    <t>D-02-01-20210222-000502</t>
  </si>
  <si>
    <t>ENTREGA DE DISEÑO ESTRUCTURAL DEL MURO 174 K4+800 COMPLEMENTARIO A LAS PILAS 1 Y 2 DEL PUENTE K4+500SECTORES MODIFICADOS</t>
  </si>
  <si>
    <t>RESPUESTA AL COMUNICADO EPS4G-0117-21 REFERENTE A LA ENTREGA DEL PMT ESPECIFICO PARA CAMBIO DE CALZADA ENTRE PK14+500 Y PK15+500 UF1</t>
  </si>
  <si>
    <t>D-02-01-20210222-000504</t>
  </si>
  <si>
    <t>D-02-01-20210222-000503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</si>
</sst>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6">
    <numFmt numFmtId="8" formatCode="&quot;$&quot;\ #,##0.00;[Red]\-&quot;$&quot;\ #,##0.00"/>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quot;$&quot;#,##0.00_);[Red]\(&quot;$&quot;#,##0.00\)"/>
    <numFmt numFmtId="176" formatCode="[$-C0A]mmmm\-yy;@"/>
    <numFmt numFmtId="177" formatCode="&quot;$&quot;\ #,##0.00"/>
    <numFmt numFmtId="178" formatCode="d\-mmm\-yyyy"/>
  </numFmts>
  <fonts count="66" x14ac:knownFonts="1">
    <font>
      <sz val="11"/>
      <color theme="1"/>
      <name val="Calibri"/>
      <family val="2"/>
      <scheme val="minor"/>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sz val="9"/>
      <name val="Arial"/>
      <family val="2"/>
    </font>
    <font>
      <sz val="8"/>
      <name val="Arial"/>
      <family val="2"/>
    </font>
    <font>
      <b/>
      <sz val="14"/>
      <name val="Calibri"/>
      <family val="2"/>
      <scheme val="minor"/>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sz val="12"/>
      <name val="Arial"/>
      <family val="2"/>
    </font>
    <font>
      <sz val="11"/>
      <name val="Arial Narrow"/>
      <family val="2"/>
    </font>
    <font>
      <b/>
      <sz val="10"/>
      <color rgb="FF000000"/>
      <name val="Arial"/>
      <family val="2"/>
    </font>
    <font>
      <b/>
      <sz val="9"/>
      <color theme="1"/>
      <name val="Calibri"/>
      <family val="2"/>
      <scheme val="minor"/>
    </font>
    <font>
      <b/>
      <sz val="20"/>
      <color theme="1"/>
      <name val="Calibri"/>
      <family val="2"/>
      <scheme val="minor"/>
    </font>
    <font>
      <sz val="10"/>
      <color theme="0"/>
      <name val="Calibri"/>
      <family val="2"/>
      <scheme val="minor"/>
    </font>
    <font>
      <b/>
      <sz val="10"/>
      <name val="Arial Narrow"/>
      <family val="2"/>
    </font>
    <font>
      <u/>
      <sz val="11"/>
      <color theme="1"/>
      <name val="Arial"/>
      <family val="2"/>
    </font>
    <font>
      <u/>
      <sz val="11"/>
      <color rgb="FFFF0000"/>
      <name val="Arial"/>
      <family val="2"/>
    </font>
    <font>
      <b/>
      <i/>
      <sz val="11"/>
      <color theme="1"/>
      <name val="Arial"/>
      <family val="2"/>
    </font>
    <font>
      <b/>
      <u/>
      <sz val="11"/>
      <color theme="1"/>
      <name val="Arial"/>
      <family val="2"/>
    </font>
    <font>
      <sz val="11"/>
      <color rgb="FF00B0F0"/>
      <name val="Arial"/>
      <family val="2"/>
    </font>
    <font>
      <b/>
      <sz val="10"/>
      <name val="Calibri"/>
      <family val="2"/>
      <scheme val="minor"/>
    </font>
    <font>
      <b/>
      <sz val="9"/>
      <color indexed="81"/>
      <name val="Tahoma"/>
      <family val="2"/>
    </font>
    <font>
      <sz val="9"/>
      <color indexed="81"/>
      <name val="Tahoma"/>
      <family val="2"/>
    </font>
    <font>
      <sz val="72"/>
      <color theme="4"/>
      <name val="Calibri"/>
      <family val="2"/>
    </font>
    <font>
      <b/>
      <sz val="8"/>
      <color theme="1"/>
      <name val="Calibri"/>
      <family val="2"/>
      <scheme val="minor"/>
    </font>
    <font>
      <b/>
      <sz val="22"/>
      <color theme="1"/>
      <name val="Calibri"/>
      <family val="2"/>
      <scheme val="minor"/>
    </font>
    <font>
      <b/>
      <vertAlign val="subscript"/>
      <sz val="16"/>
      <color theme="4"/>
      <name val="Calibri"/>
      <family val="2"/>
      <scheme val="minor"/>
    </font>
    <font>
      <b/>
      <sz val="11"/>
      <color theme="1"/>
      <name val="Calibri"/>
      <family val="2"/>
    </font>
    <font>
      <b/>
      <sz val="14"/>
      <color theme="1"/>
      <name val="Calibri"/>
      <family val="2"/>
      <scheme val="minor"/>
    </font>
    <font>
      <b/>
      <vertAlign val="subscript"/>
      <sz val="16"/>
      <color theme="1"/>
      <name val="Calibri"/>
      <family val="2"/>
      <scheme val="minor"/>
    </font>
    <font>
      <sz val="26"/>
      <color theme="1"/>
      <name val="Calibri"/>
      <family val="2"/>
      <scheme val="minor"/>
    </font>
    <font>
      <b/>
      <sz val="8"/>
      <color rgb="FF000000"/>
      <name val="Arial"/>
      <family val="2"/>
    </font>
    <font>
      <b/>
      <sz val="8"/>
      <color theme="1"/>
      <name val="Arial"/>
      <family val="2"/>
    </font>
  </fonts>
  <fills count="25">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
      <patternFill patternType="solid">
        <fgColor theme="2"/>
        <bgColor indexed="64"/>
      </patternFill>
    </fill>
    <fill>
      <patternFill patternType="solid">
        <fgColor rgb="FF92D050"/>
        <bgColor indexed="64"/>
      </patternFill>
    </fill>
    <fill>
      <patternFill patternType="solid">
        <fgColor rgb="FFFFFFFF"/>
        <bgColor indexed="64"/>
      </patternFill>
    </fill>
    <fill>
      <patternFill patternType="solid">
        <fgColor rgb="FFFFFF00"/>
        <bgColor rgb="FF000000"/>
      </patternFill>
    </fill>
  </fills>
  <borders count="60">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thin">
        <color auto="1"/>
      </right>
      <top/>
      <bottom style="medium">
        <color auto="1"/>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thin">
        <color auto="1"/>
      </left>
      <right style="thin">
        <color auto="1"/>
      </right>
      <top/>
      <bottom/>
      <diagonal/>
    </border>
    <border>
      <left/>
      <right style="medium">
        <color indexed="64"/>
      </right>
      <top style="thin">
        <color auto="1"/>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right style="thin">
        <color auto="1"/>
      </right>
      <top style="medium">
        <color indexed="64"/>
      </top>
      <bottom style="thin">
        <color auto="1"/>
      </bottom>
      <diagonal/>
    </border>
    <border>
      <left/>
      <right style="thin">
        <color indexed="64"/>
      </right>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right/>
      <top style="thin">
        <color auto="1"/>
      </top>
      <bottom style="medium">
        <color indexed="64"/>
      </bottom>
      <diagonal/>
    </border>
    <border>
      <left style="medium">
        <color indexed="64"/>
      </left>
      <right style="thin">
        <color auto="1"/>
      </right>
      <top style="thin">
        <color auto="1"/>
      </top>
      <bottom style="thin">
        <color auto="1"/>
      </bottom>
      <diagonal/>
    </border>
    <border>
      <left style="medium">
        <color indexed="64"/>
      </left>
      <right style="medium">
        <color indexed="64"/>
      </right>
      <top style="medium">
        <color indexed="64"/>
      </top>
      <bottom style="medium">
        <color indexed="64"/>
      </bottom>
      <diagonal/>
    </border>
  </borders>
  <cellStyleXfs count="19">
    <xf numFmtId="0" fontId="0" fillId="0" borderId="0"/>
    <xf numFmtId="9" fontId="1" fillId="0" borderId="0" applyFont="0" applyFill="0" applyBorder="0" applyAlignment="0" applyProtection="0"/>
    <xf numFmtId="0" fontId="10" fillId="0" borderId="0"/>
    <xf numFmtId="0" fontId="1" fillId="0" borderId="0"/>
    <xf numFmtId="164" fontId="1" fillId="0" borderId="0" applyFont="0" applyFill="0" applyBorder="0" applyAlignment="0" applyProtection="0"/>
    <xf numFmtId="165" fontId="10" fillId="0" borderId="0" applyFont="0" applyFill="0" applyBorder="0" applyAlignment="0" applyProtection="0"/>
    <xf numFmtId="0" fontId="15" fillId="0" borderId="0"/>
    <xf numFmtId="0" fontId="1" fillId="0" borderId="0"/>
    <xf numFmtId="165"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0" fontId="1" fillId="0" borderId="0"/>
    <xf numFmtId="0" fontId="1" fillId="0" borderId="0"/>
    <xf numFmtId="0" fontId="31" fillId="0" borderId="0" applyNumberForma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cellStyleXfs>
  <cellXfs count="1106">
    <xf numFmtId="0" fontId="0" fillId="0" borderId="0" xfId="0"/>
    <xf numFmtId="0" fontId="3" fillId="0" borderId="0" xfId="0" applyFont="1" applyAlignment="1">
      <alignment wrapText="1"/>
    </xf>
    <xf numFmtId="0" fontId="9" fillId="0" borderId="0" xfId="0" applyFont="1" applyAlignment="1">
      <alignment wrapText="1"/>
    </xf>
    <xf numFmtId="0" fontId="4" fillId="0" borderId="0" xfId="0" applyFont="1" applyAlignment="1">
      <alignment wrapText="1"/>
    </xf>
    <xf numFmtId="0" fontId="4" fillId="0" borderId="1" xfId="0" applyFont="1" applyBorder="1" applyAlignment="1">
      <alignment wrapText="1"/>
    </xf>
    <xf numFmtId="2" fontId="4" fillId="0" borderId="1" xfId="0" applyNumberFormat="1" applyFont="1" applyBorder="1" applyAlignment="1">
      <alignment horizontal="center" wrapText="1"/>
    </xf>
    <xf numFmtId="0" fontId="4" fillId="0" borderId="0" xfId="0" applyFont="1"/>
    <xf numFmtId="0" fontId="4" fillId="0" borderId="0" xfId="0" applyFont="1" applyAlignment="1">
      <alignment vertical="center"/>
    </xf>
    <xf numFmtId="0" fontId="11" fillId="0" borderId="1" xfId="0" applyFont="1" applyBorder="1" applyAlignment="1">
      <alignment horizontal="center" vertical="center" wrapText="1"/>
    </xf>
    <xf numFmtId="2" fontId="11" fillId="0" borderId="1" xfId="0" applyNumberFormat="1" applyFont="1" applyBorder="1" applyAlignment="1">
      <alignment horizontal="center" vertical="center" wrapText="1"/>
    </xf>
    <xf numFmtId="2" fontId="5" fillId="0" borderId="1" xfId="0" applyNumberFormat="1" applyFont="1" applyBorder="1" applyAlignment="1">
      <alignment horizontal="center" vertical="center" wrapText="1"/>
    </xf>
    <xf numFmtId="15" fontId="4" fillId="0" borderId="1" xfId="0" applyNumberFormat="1" applyFont="1" applyBorder="1" applyAlignment="1">
      <alignment horizontal="center" vertical="center"/>
    </xf>
    <xf numFmtId="1" fontId="4" fillId="0" borderId="1" xfId="0" applyNumberFormat="1" applyFont="1" applyBorder="1" applyAlignment="1">
      <alignment horizontal="center" vertical="center"/>
    </xf>
    <xf numFmtId="10" fontId="4" fillId="0" borderId="1" xfId="1" applyNumberFormat="1" applyFont="1" applyBorder="1" applyAlignment="1">
      <alignment horizontal="center" vertical="center" wrapText="1"/>
    </xf>
    <xf numFmtId="0" fontId="4" fillId="0" borderId="1" xfId="0" applyFont="1" applyBorder="1"/>
    <xf numFmtId="10" fontId="4" fillId="0" borderId="1" xfId="1" applyNumberFormat="1" applyFont="1" applyBorder="1"/>
    <xf numFmtId="2" fontId="4" fillId="0" borderId="1" xfId="0" applyNumberFormat="1" applyFont="1" applyBorder="1" applyAlignment="1">
      <alignment horizontal="center"/>
    </xf>
    <xf numFmtId="1" fontId="6" fillId="0" borderId="1" xfId="1" applyNumberFormat="1" applyFont="1" applyBorder="1" applyAlignment="1">
      <alignment horizontal="center" vertical="center" wrapText="1"/>
    </xf>
    <xf numFmtId="0" fontId="6" fillId="0" borderId="0" xfId="2" applyFont="1" applyAlignment="1">
      <alignment horizontal="center" vertical="center"/>
    </xf>
    <xf numFmtId="2" fontId="6" fillId="0" borderId="1" xfId="1" applyNumberFormat="1" applyFont="1" applyBorder="1" applyAlignment="1">
      <alignment horizontal="center" vertical="center" wrapText="1"/>
    </xf>
    <xf numFmtId="167" fontId="6" fillId="0" borderId="1" xfId="1" applyNumberFormat="1" applyFont="1" applyBorder="1" applyAlignment="1">
      <alignment horizontal="center" vertical="center" wrapText="1"/>
    </xf>
    <xf numFmtId="1" fontId="6" fillId="0" borderId="1" xfId="0" applyNumberFormat="1" applyFont="1" applyBorder="1" applyAlignment="1">
      <alignment horizontal="center" vertical="center" wrapText="1"/>
    </xf>
    <xf numFmtId="0" fontId="9" fillId="0" borderId="0" xfId="0" applyFont="1"/>
    <xf numFmtId="14" fontId="4" fillId="0" borderId="0" xfId="0" applyNumberFormat="1" applyFont="1" applyAlignment="1">
      <alignment wrapText="1"/>
    </xf>
    <xf numFmtId="10" fontId="14" fillId="0" borderId="1" xfId="1" applyNumberFormat="1" applyFont="1" applyBorder="1" applyAlignment="1">
      <alignment horizontal="center" vertical="center" wrapText="1"/>
    </xf>
    <xf numFmtId="2" fontId="3" fillId="0" borderId="0" xfId="0" applyNumberFormat="1" applyFont="1" applyAlignment="1">
      <alignment horizontal="center" wrapText="1"/>
    </xf>
    <xf numFmtId="0" fontId="3" fillId="0" borderId="0" xfId="0" applyFont="1" applyAlignment="1">
      <alignment vertical="center" wrapText="1"/>
    </xf>
    <xf numFmtId="10" fontId="4" fillId="0" borderId="1" xfId="1" applyNumberFormat="1" applyFont="1" applyBorder="1" applyAlignment="1">
      <alignment horizontal="center" vertical="center"/>
    </xf>
    <xf numFmtId="169" fontId="6" fillId="0" borderId="1" xfId="5" applyNumberFormat="1" applyFont="1" applyBorder="1" applyAlignment="1">
      <alignment horizontal="center"/>
    </xf>
    <xf numFmtId="38" fontId="6" fillId="15" borderId="1" xfId="2" applyNumberFormat="1" applyFont="1" applyFill="1" applyBorder="1" applyAlignment="1">
      <alignment horizontal="center" vertical="center" wrapText="1"/>
    </xf>
    <xf numFmtId="169" fontId="6" fillId="15" borderId="1" xfId="5" applyNumberFormat="1" applyFont="1" applyFill="1" applyBorder="1" applyAlignment="1">
      <alignment horizontal="center"/>
    </xf>
    <xf numFmtId="49" fontId="6" fillId="0" borderId="1" xfId="5" applyNumberFormat="1" applyFont="1" applyBorder="1" applyAlignment="1">
      <alignment horizontal="center" vertical="center" wrapText="1"/>
    </xf>
    <xf numFmtId="49" fontId="6" fillId="0" borderId="1" xfId="5" applyNumberFormat="1" applyFont="1" applyBorder="1" applyAlignment="1">
      <alignment horizontal="center"/>
    </xf>
    <xf numFmtId="0" fontId="18" fillId="0" borderId="0" xfId="0" applyFont="1" applyAlignment="1">
      <alignment horizontal="left"/>
    </xf>
    <xf numFmtId="0" fontId="18" fillId="0" borderId="0" xfId="0" applyFont="1"/>
    <xf numFmtId="1" fontId="18" fillId="17" borderId="18" xfId="0" applyNumberFormat="1" applyFont="1" applyFill="1" applyBorder="1" applyAlignment="1">
      <alignment vertical="center"/>
    </xf>
    <xf numFmtId="1" fontId="18" fillId="0" borderId="1" xfId="0" applyNumberFormat="1" applyFont="1" applyBorder="1" applyAlignment="1">
      <alignment vertical="center"/>
    </xf>
    <xf numFmtId="1" fontId="18" fillId="0" borderId="27" xfId="0" applyNumberFormat="1" applyFont="1" applyBorder="1" applyAlignment="1">
      <alignment vertical="center"/>
    </xf>
    <xf numFmtId="1" fontId="18" fillId="0" borderId="11" xfId="0" applyNumberFormat="1" applyFont="1" applyBorder="1" applyAlignment="1">
      <alignment vertical="center"/>
    </xf>
    <xf numFmtId="170" fontId="17" fillId="16" borderId="1" xfId="11" applyNumberFormat="1" applyFont="1" applyFill="1" applyBorder="1" applyAlignment="1">
      <alignment horizontal="right" wrapText="1"/>
    </xf>
    <xf numFmtId="0" fontId="7" fillId="0" borderId="9" xfId="0" applyFont="1" applyBorder="1" applyAlignment="1">
      <alignment vertical="center" wrapText="1"/>
    </xf>
    <xf numFmtId="0" fontId="7" fillId="0" borderId="10" xfId="0" applyFont="1" applyBorder="1" applyAlignment="1">
      <alignment vertical="center" wrapText="1"/>
    </xf>
    <xf numFmtId="14" fontId="6" fillId="0" borderId="5" xfId="0" applyNumberFormat="1" applyFont="1" applyBorder="1" applyAlignment="1">
      <alignment vertical="center" wrapText="1"/>
    </xf>
    <xf numFmtId="14" fontId="6" fillId="0" borderId="6" xfId="0" applyNumberFormat="1" applyFont="1" applyBorder="1" applyAlignment="1">
      <alignment vertical="center" wrapText="1"/>
    </xf>
    <xf numFmtId="14" fontId="6" fillId="0" borderId="7" xfId="0" applyNumberFormat="1" applyFont="1" applyBorder="1" applyAlignment="1">
      <alignment vertical="center" wrapText="1"/>
    </xf>
    <xf numFmtId="0" fontId="7" fillId="0" borderId="8" xfId="0" applyFont="1" applyBorder="1" applyAlignment="1">
      <alignment vertical="center" wrapText="1"/>
    </xf>
    <xf numFmtId="0" fontId="6" fillId="6" borderId="0" xfId="0" applyFont="1" applyFill="1" applyAlignment="1">
      <alignment vertical="center" wrapText="1"/>
    </xf>
    <xf numFmtId="0" fontId="6" fillId="0" borderId="6" xfId="0" quotePrefix="1" applyFont="1" applyBorder="1" applyAlignment="1">
      <alignment horizontal="left" vertical="center" wrapText="1"/>
    </xf>
    <xf numFmtId="0" fontId="6" fillId="0" borderId="0" xfId="0" quotePrefix="1" applyFont="1" applyAlignment="1">
      <alignment horizontal="left" vertical="center" wrapText="1"/>
    </xf>
    <xf numFmtId="49" fontId="7" fillId="0" borderId="3" xfId="0" applyNumberFormat="1" applyFont="1" applyBorder="1" applyAlignment="1">
      <alignment horizontal="left" vertical="center" wrapText="1"/>
    </xf>
    <xf numFmtId="169" fontId="6" fillId="0" borderId="1" xfId="5" applyNumberFormat="1" applyFont="1" applyBorder="1" applyAlignment="1">
      <alignment vertical="center" wrapText="1"/>
    </xf>
    <xf numFmtId="0" fontId="6" fillId="6" borderId="3" xfId="0" applyFont="1" applyFill="1" applyBorder="1" applyAlignment="1">
      <alignment horizontal="center" vertical="center" wrapText="1"/>
    </xf>
    <xf numFmtId="0" fontId="7" fillId="3" borderId="11" xfId="0" applyFont="1" applyFill="1" applyBorder="1" applyAlignment="1">
      <alignment horizontal="center" vertical="center" wrapText="1"/>
    </xf>
    <xf numFmtId="0" fontId="3" fillId="0" borderId="0" xfId="0" applyFont="1" applyAlignment="1">
      <alignment vertical="top" wrapText="1"/>
    </xf>
    <xf numFmtId="0" fontId="3" fillId="0" borderId="1" xfId="0" applyFont="1" applyBorder="1" applyAlignment="1">
      <alignment wrapText="1"/>
    </xf>
    <xf numFmtId="38" fontId="6" fillId="0" borderId="1" xfId="2" applyNumberFormat="1" applyFont="1" applyBorder="1" applyAlignment="1">
      <alignment horizontal="center" vertical="center" wrapText="1"/>
    </xf>
    <xf numFmtId="38" fontId="7" fillId="0" borderId="1" xfId="2" applyNumberFormat="1" applyFont="1" applyBorder="1" applyAlignment="1">
      <alignment horizontal="center" vertical="center" wrapText="1"/>
    </xf>
    <xf numFmtId="0" fontId="19" fillId="0" borderId="0" xfId="0" applyFont="1"/>
    <xf numFmtId="38" fontId="6" fillId="0" borderId="1" xfId="2" applyNumberFormat="1" applyFont="1" applyBorder="1" applyAlignment="1">
      <alignment horizontal="center" wrapText="1"/>
    </xf>
    <xf numFmtId="0" fontId="6" fillId="0" borderId="1" xfId="0" applyFont="1" applyBorder="1" applyAlignment="1">
      <alignment horizontal="center" vertical="center" wrapText="1"/>
    </xf>
    <xf numFmtId="10" fontId="6" fillId="0" borderId="1" xfId="1" applyNumberFormat="1" applyFont="1" applyBorder="1" applyAlignment="1">
      <alignment horizontal="center" vertical="center" wrapText="1"/>
    </xf>
    <xf numFmtId="0" fontId="6" fillId="0" borderId="1" xfId="0" applyFont="1" applyBorder="1" applyAlignment="1">
      <alignment horizontal="left" vertical="center" wrapText="1"/>
    </xf>
    <xf numFmtId="15" fontId="6" fillId="0" borderId="1" xfId="0"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4" borderId="1" xfId="0" applyFont="1" applyFill="1" applyBorder="1" applyAlignment="1">
      <alignment horizontal="center" vertical="center" wrapText="1"/>
    </xf>
    <xf numFmtId="49" fontId="8" fillId="0" borderId="3" xfId="0" applyNumberFormat="1" applyFont="1" applyBorder="1" applyAlignment="1">
      <alignment horizontal="left" vertical="center" wrapText="1"/>
    </xf>
    <xf numFmtId="0" fontId="5" fillId="0" borderId="1" xfId="0" applyFont="1" applyBorder="1" applyAlignment="1">
      <alignment horizontal="center" vertical="center" wrapText="1"/>
    </xf>
    <xf numFmtId="0" fontId="4" fillId="0" borderId="1" xfId="0" applyFont="1" applyBorder="1" applyAlignment="1">
      <alignment horizontal="center" vertical="center" wrapText="1"/>
    </xf>
    <xf numFmtId="0" fontId="6" fillId="6" borderId="2"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4" fillId="0" borderId="1" xfId="0" applyFont="1" applyBorder="1" applyAlignment="1">
      <alignment horizontal="center" wrapText="1"/>
    </xf>
    <xf numFmtId="0" fontId="6" fillId="6" borderId="1" xfId="0" applyFont="1" applyFill="1" applyBorder="1" applyAlignment="1">
      <alignment horizontal="center" vertical="center" wrapText="1"/>
    </xf>
    <xf numFmtId="0" fontId="0" fillId="0" borderId="0" xfId="0"/>
    <xf numFmtId="0" fontId="4" fillId="0" borderId="0" xfId="0" applyFont="1" applyAlignment="1">
      <alignment horizontal="left" vertical="center" wrapText="1"/>
    </xf>
    <xf numFmtId="171" fontId="17" fillId="16" borderId="1" xfId="0" applyNumberFormat="1" applyFont="1" applyFill="1" applyBorder="1" applyAlignment="1">
      <alignment horizontal="right" wrapText="1"/>
    </xf>
    <xf numFmtId="49" fontId="6" fillId="0" borderId="1" xfId="5" applyNumberFormat="1" applyFont="1" applyBorder="1" applyAlignment="1">
      <alignment horizontal="right" wrapText="1"/>
    </xf>
    <xf numFmtId="49" fontId="6" fillId="0" borderId="1" xfId="5" applyNumberFormat="1" applyFont="1" applyBorder="1" applyAlignment="1">
      <alignment horizontal="right"/>
    </xf>
    <xf numFmtId="170" fontId="17" fillId="0" borderId="1" xfId="11" applyNumberFormat="1" applyFont="1" applyBorder="1" applyAlignment="1">
      <alignment horizontal="right" wrapText="1"/>
    </xf>
    <xf numFmtId="170" fontId="17" fillId="16" borderId="1" xfId="11" applyNumberFormat="1" applyFont="1" applyFill="1" applyBorder="1" applyAlignment="1">
      <alignment horizontal="right" vertical="center" wrapText="1"/>
    </xf>
    <xf numFmtId="49" fontId="6" fillId="0" borderId="1" xfId="5" applyNumberFormat="1" applyFont="1" applyBorder="1" applyAlignment="1">
      <alignment horizontal="right" vertical="center" wrapText="1"/>
    </xf>
    <xf numFmtId="0" fontId="0" fillId="0" borderId="0" xfId="0" applyAlignment="1">
      <alignment wrapText="1"/>
    </xf>
    <xf numFmtId="17" fontId="21" fillId="0" borderId="11" xfId="12" applyNumberFormat="1" applyFont="1" applyBorder="1" applyAlignment="1">
      <alignment horizontal="center" vertical="center"/>
    </xf>
    <xf numFmtId="0" fontId="0" fillId="0" borderId="0" xfId="0"/>
    <xf numFmtId="38" fontId="7" fillId="3" borderId="11" xfId="0" applyNumberFormat="1" applyFont="1" applyFill="1" applyBorder="1" applyAlignment="1">
      <alignment horizontal="center" vertical="center" wrapText="1"/>
    </xf>
    <xf numFmtId="1" fontId="11" fillId="0" borderId="1" xfId="0" applyNumberFormat="1" applyFont="1" applyBorder="1" applyAlignment="1">
      <alignment vertical="center"/>
    </xf>
    <xf numFmtId="174" fontId="10" fillId="0" borderId="1" xfId="0" applyNumberFormat="1" applyFont="1" applyBorder="1" applyAlignment="1">
      <alignment vertical="center"/>
    </xf>
    <xf numFmtId="170" fontId="17" fillId="0" borderId="1" xfId="11" applyNumberFormat="1" applyFont="1" applyFill="1" applyBorder="1" applyAlignment="1">
      <alignment horizontal="right" vertical="center" wrapText="1"/>
    </xf>
    <xf numFmtId="49" fontId="6" fillId="0" borderId="1" xfId="5" applyNumberFormat="1" applyFont="1" applyFill="1" applyBorder="1" applyAlignment="1">
      <alignment horizontal="right" vertic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10" fontId="6" fillId="0" borderId="1" xfId="1" applyNumberFormat="1" applyFont="1" applyBorder="1" applyAlignment="1">
      <alignment horizontal="center" vertical="center" wrapText="1"/>
    </xf>
    <xf numFmtId="0" fontId="6" fillId="0" borderId="1" xfId="0" applyFont="1" applyBorder="1" applyAlignment="1">
      <alignment horizontal="left" vertical="center" wrapText="1"/>
    </xf>
    <xf numFmtId="2" fontId="5" fillId="0" borderId="1" xfId="1" applyNumberFormat="1" applyFont="1" applyBorder="1" applyAlignment="1">
      <alignment horizontal="center" vertical="center"/>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9" fontId="6" fillId="0" borderId="1" xfId="1" applyNumberFormat="1" applyFont="1" applyBorder="1" applyAlignment="1">
      <alignment horizontal="center" vertical="center" wrapText="1"/>
    </xf>
    <xf numFmtId="9" fontId="6" fillId="0" borderId="1" xfId="1" applyNumberFormat="1" applyFont="1" applyBorder="1" applyAlignment="1">
      <alignment horizontal="center" vertical="center"/>
    </xf>
    <xf numFmtId="14" fontId="28" fillId="0" borderId="1" xfId="12" applyNumberFormat="1" applyFont="1" applyBorder="1" applyAlignment="1">
      <alignment horizontal="center" vertical="center"/>
    </xf>
    <xf numFmtId="0" fontId="12" fillId="12" borderId="13" xfId="0" applyFont="1" applyFill="1" applyBorder="1" applyAlignment="1">
      <alignment horizontal="center" vertical="center" textRotation="90" wrapText="1"/>
    </xf>
    <xf numFmtId="0" fontId="38" fillId="0" borderId="26" xfId="15" applyFont="1" applyBorder="1" applyAlignment="1">
      <alignment horizontal="center" vertical="center"/>
    </xf>
    <xf numFmtId="17" fontId="36" fillId="0" borderId="1" xfId="15" applyNumberFormat="1" applyFont="1" applyBorder="1" applyAlignment="1">
      <alignment horizontal="center"/>
    </xf>
    <xf numFmtId="0" fontId="38" fillId="0" borderId="26" xfId="15" applyFont="1" applyBorder="1" applyAlignment="1">
      <alignment horizontal="center"/>
    </xf>
    <xf numFmtId="0" fontId="39" fillId="0" borderId="21" xfId="15" applyFont="1" applyBorder="1"/>
    <xf numFmtId="0" fontId="39" fillId="0" borderId="0" xfId="15" applyFont="1" applyAlignment="1">
      <alignment vertical="center"/>
    </xf>
    <xf numFmtId="9" fontId="40" fillId="17" borderId="1" xfId="16" applyFont="1" applyFill="1" applyBorder="1" applyAlignment="1">
      <alignment horizontal="center" vertical="center" wrapText="1"/>
    </xf>
    <xf numFmtId="1" fontId="11" fillId="17" borderId="18" xfId="0" applyNumberFormat="1" applyFont="1" applyFill="1" applyBorder="1" applyAlignment="1">
      <alignment vertical="center"/>
    </xf>
    <xf numFmtId="9" fontId="40" fillId="0" borderId="1" xfId="16" applyFont="1" applyBorder="1" applyAlignment="1">
      <alignment horizontal="center" vertical="center" wrapText="1"/>
    </xf>
    <xf numFmtId="9" fontId="40" fillId="0" borderId="1" xfId="16" applyFont="1" applyBorder="1" applyAlignment="1">
      <alignment horizontal="center"/>
    </xf>
    <xf numFmtId="1" fontId="11" fillId="17" borderId="12" xfId="0" applyNumberFormat="1" applyFont="1" applyFill="1" applyBorder="1" applyAlignment="1">
      <alignment vertical="center"/>
    </xf>
    <xf numFmtId="9" fontId="40" fillId="0" borderId="27" xfId="16" applyFont="1" applyBorder="1" applyAlignment="1">
      <alignment horizontal="center"/>
    </xf>
    <xf numFmtId="0" fontId="25" fillId="0" borderId="0" xfId="0" applyFont="1" applyAlignment="1">
      <alignment horizontal="left" vertical="top" wrapText="1"/>
    </xf>
    <xf numFmtId="0" fontId="1" fillId="7" borderId="0" xfId="12" applyFill="1"/>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38" fontId="7" fillId="0" borderId="1" xfId="2" applyNumberFormat="1" applyFont="1" applyBorder="1" applyAlignment="1">
      <alignment horizontal="right" vertical="center"/>
    </xf>
    <xf numFmtId="171" fontId="17" fillId="16" borderId="1" xfId="0" applyNumberFormat="1" applyFont="1" applyFill="1" applyBorder="1" applyAlignment="1">
      <alignment horizontal="right" vertical="center" wrapText="1"/>
    </xf>
    <xf numFmtId="169" fontId="1" fillId="0" borderId="1" xfId="0" applyNumberFormat="1" applyFont="1" applyBorder="1" applyAlignment="1">
      <alignment wrapText="1"/>
    </xf>
    <xf numFmtId="0" fontId="19" fillId="0" borderId="0" xfId="0" applyFont="1" applyAlignment="1">
      <alignment wrapText="1"/>
    </xf>
    <xf numFmtId="169" fontId="2" fillId="0" borderId="1" xfId="0" applyNumberFormat="1" applyFont="1" applyBorder="1" applyAlignment="1">
      <alignment wrapText="1"/>
    </xf>
    <xf numFmtId="170" fontId="12" fillId="0" borderId="1" xfId="11" applyNumberFormat="1" applyFont="1" applyBorder="1" applyAlignment="1">
      <alignment horizontal="right" wrapText="1"/>
    </xf>
    <xf numFmtId="38" fontId="16" fillId="0" borderId="1" xfId="2" applyNumberFormat="1" applyFont="1" applyBorder="1" applyAlignment="1">
      <alignment horizontal="center" wrapText="1"/>
    </xf>
    <xf numFmtId="171" fontId="43" fillId="16" borderId="1" xfId="0" applyNumberFormat="1" applyFont="1" applyFill="1" applyBorder="1" applyAlignment="1">
      <alignment horizontal="right" wrapText="1"/>
    </xf>
    <xf numFmtId="49" fontId="16" fillId="0" borderId="1" xfId="5" applyNumberFormat="1" applyFont="1" applyBorder="1" applyAlignment="1">
      <alignment horizontal="right"/>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14" fontId="30" fillId="0" borderId="11" xfId="7" applyNumberFormat="1" applyFont="1" applyBorder="1" applyAlignment="1">
      <alignment horizontal="center" vertical="center"/>
    </xf>
    <xf numFmtId="0" fontId="38" fillId="0" borderId="26" xfId="15" applyFont="1" applyBorder="1" applyAlignment="1">
      <alignment horizontal="center" wrapText="1"/>
    </xf>
    <xf numFmtId="0" fontId="38" fillId="0" borderId="26" xfId="15" applyFont="1" applyBorder="1" applyAlignment="1">
      <alignment horizontal="center" vertical="center" wrapText="1"/>
    </xf>
    <xf numFmtId="0" fontId="0" fillId="0" borderId="0" xfId="0"/>
    <xf numFmtId="0" fontId="1" fillId="0" borderId="0" xfId="12"/>
    <xf numFmtId="0" fontId="21" fillId="0" borderId="4" xfId="12" applyFont="1" applyBorder="1" applyAlignment="1">
      <alignment horizontal="center" vertical="center"/>
    </xf>
    <xf numFmtId="17" fontId="21" fillId="0" borderId="7" xfId="12" applyNumberFormat="1" applyFont="1" applyBorder="1" applyAlignment="1">
      <alignment horizontal="center" vertical="center"/>
    </xf>
    <xf numFmtId="0" fontId="21" fillId="0" borderId="11" xfId="12" applyFont="1" applyBorder="1" applyAlignment="1">
      <alignment horizontal="center" vertical="center"/>
    </xf>
    <xf numFmtId="0" fontId="0" fillId="0" borderId="0" xfId="12" applyFont="1"/>
    <xf numFmtId="0" fontId="12" fillId="12" borderId="13" xfId="0" applyFont="1" applyFill="1" applyBorder="1" applyAlignment="1">
      <alignment horizontal="center" vertical="center" textRotation="90" wrapText="1"/>
    </xf>
    <xf numFmtId="0" fontId="38" fillId="0" borderId="1" xfId="15" applyFont="1" applyBorder="1" applyAlignment="1">
      <alignment horizontal="center"/>
    </xf>
    <xf numFmtId="169" fontId="1" fillId="0" borderId="1" xfId="0" applyNumberFormat="1" applyFont="1" applyBorder="1" applyAlignment="1">
      <alignment vertical="center" wrapText="1"/>
    </xf>
    <xf numFmtId="0" fontId="7" fillId="3" borderId="1" xfId="2" applyFont="1" applyFill="1" applyBorder="1" applyAlignment="1">
      <alignment horizontal="center" vertical="center"/>
    </xf>
    <xf numFmtId="38" fontId="7" fillId="3" borderId="1" xfId="2" applyNumberFormat="1" applyFont="1" applyFill="1" applyBorder="1" applyAlignment="1">
      <alignment horizontal="center" vertical="center"/>
    </xf>
    <xf numFmtId="0" fontId="7" fillId="14" borderId="1" xfId="2" applyFont="1" applyFill="1" applyBorder="1" applyAlignment="1">
      <alignment horizontal="center" vertical="center"/>
    </xf>
    <xf numFmtId="38" fontId="7" fillId="3" borderId="1" xfId="2" applyNumberFormat="1" applyFont="1" applyFill="1" applyBorder="1" applyAlignment="1">
      <alignment horizontal="center" vertical="center" wrapText="1"/>
    </xf>
    <xf numFmtId="169" fontId="6" fillId="0" borderId="1" xfId="5" applyNumberFormat="1" applyFont="1" applyBorder="1" applyAlignment="1">
      <alignment horizontal="right" vertical="center" wrapText="1"/>
    </xf>
    <xf numFmtId="0" fontId="6" fillId="0" borderId="1" xfId="2" applyFont="1" applyBorder="1" applyAlignment="1">
      <alignment horizontal="center" wrapText="1"/>
    </xf>
    <xf numFmtId="0" fontId="4" fillId="0" borderId="1" xfId="0" applyFont="1" applyBorder="1" applyAlignment="1">
      <alignment horizontal="center" wrapText="1"/>
    </xf>
    <xf numFmtId="175" fontId="1" fillId="0" borderId="1" xfId="0" applyNumberFormat="1" applyFont="1" applyBorder="1" applyAlignment="1">
      <alignment wrapText="1"/>
    </xf>
    <xf numFmtId="0" fontId="18" fillId="0" borderId="1" xfId="0" applyFont="1" applyBorder="1" applyAlignment="1">
      <alignment wrapText="1"/>
    </xf>
    <xf numFmtId="0" fontId="16" fillId="0" borderId="1" xfId="2" applyFont="1" applyBorder="1" applyAlignment="1">
      <alignment horizontal="center" wrapText="1"/>
    </xf>
    <xf numFmtId="0" fontId="11" fillId="0" borderId="1" xfId="0" applyFont="1" applyBorder="1" applyAlignment="1">
      <alignment horizontal="center" wrapText="1"/>
    </xf>
    <xf numFmtId="175" fontId="19" fillId="0" borderId="1" xfId="0" applyNumberFormat="1" applyFont="1" applyBorder="1" applyAlignment="1">
      <alignment wrapText="1"/>
    </xf>
    <xf numFmtId="0" fontId="11" fillId="0" borderId="1" xfId="0" applyFont="1" applyBorder="1" applyAlignment="1">
      <alignment wrapText="1"/>
    </xf>
    <xf numFmtId="15" fontId="6" fillId="0" borderId="1" xfId="2" applyNumberFormat="1" applyFont="1" applyBorder="1" applyAlignment="1">
      <alignment vertical="center" wrapText="1"/>
    </xf>
    <xf numFmtId="175" fontId="6" fillId="0" borderId="1" xfId="5" applyNumberFormat="1" applyFont="1" applyBorder="1" applyAlignment="1">
      <alignment vertical="center" wrapText="1"/>
    </xf>
    <xf numFmtId="175" fontId="6" fillId="0" borderId="1" xfId="5" applyNumberFormat="1" applyFont="1" applyBorder="1" applyAlignment="1">
      <alignment wrapText="1"/>
    </xf>
    <xf numFmtId="0" fontId="0" fillId="0" borderId="1" xfId="0" applyBorder="1" applyAlignment="1">
      <alignment horizontal="center" vertical="center" wrapText="1"/>
    </xf>
    <xf numFmtId="0" fontId="1" fillId="0" borderId="1" xfId="0" applyFont="1" applyBorder="1" applyAlignment="1">
      <alignment horizontal="center" vertical="center" wrapText="1"/>
    </xf>
    <xf numFmtId="169" fontId="1" fillId="0" borderId="1" xfId="0" applyNumberFormat="1" applyFont="1" applyBorder="1" applyAlignment="1">
      <alignment horizontal="center" vertical="center" wrapText="1"/>
    </xf>
    <xf numFmtId="169" fontId="6" fillId="0" borderId="1" xfId="5" applyNumberFormat="1" applyFont="1" applyBorder="1" applyAlignment="1">
      <alignment horizontal="center" vertical="center" wrapText="1"/>
    </xf>
    <xf numFmtId="0" fontId="4" fillId="0" borderId="1" xfId="0" applyFont="1" applyBorder="1" applyAlignment="1">
      <alignment horizontal="right" wrapText="1"/>
    </xf>
    <xf numFmtId="169" fontId="1" fillId="0" borderId="1" xfId="0" applyNumberFormat="1" applyFont="1" applyBorder="1" applyAlignment="1">
      <alignment horizontal="right" wrapText="1"/>
    </xf>
    <xf numFmtId="169" fontId="6" fillId="0" borderId="1" xfId="5" applyNumberFormat="1" applyFont="1" applyBorder="1" applyAlignment="1">
      <alignment horizontal="right" wrapText="1"/>
    </xf>
    <xf numFmtId="169" fontId="4" fillId="0" borderId="1" xfId="0" applyNumberFormat="1" applyFont="1" applyBorder="1" applyAlignment="1">
      <alignment horizontal="right" wrapText="1"/>
    </xf>
    <xf numFmtId="15" fontId="6" fillId="0" borderId="1" xfId="2" applyNumberFormat="1" applyFont="1" applyBorder="1" applyAlignment="1">
      <alignment horizontal="center" vertical="center" wrapText="1"/>
    </xf>
    <xf numFmtId="0" fontId="6" fillId="15" borderId="1" xfId="2" applyFont="1" applyFill="1" applyBorder="1" applyAlignment="1">
      <alignment horizontal="center" vertical="center" wrapText="1"/>
    </xf>
    <xf numFmtId="169" fontId="6" fillId="0" borderId="1" xfId="2" applyNumberFormat="1" applyFont="1" applyBorder="1" applyAlignment="1">
      <alignment horizontal="center" vertical="center" wrapText="1"/>
    </xf>
    <xf numFmtId="164" fontId="6" fillId="0" borderId="1" xfId="11" applyFont="1" applyBorder="1" applyAlignment="1">
      <alignment vertical="center" wrapText="1"/>
    </xf>
    <xf numFmtId="169" fontId="4" fillId="0" borderId="1" xfId="0" applyNumberFormat="1" applyFont="1" applyBorder="1" applyAlignment="1">
      <alignment horizontal="center" vertical="center" wrapText="1"/>
    </xf>
    <xf numFmtId="0" fontId="3" fillId="0" borderId="0" xfId="0" applyFont="1"/>
    <xf numFmtId="0" fontId="3" fillId="0" borderId="0" xfId="0" applyFont="1" applyAlignment="1">
      <alignment horizontal="right" wrapText="1"/>
    </xf>
    <xf numFmtId="178" fontId="3" fillId="0" borderId="0" xfId="0" applyNumberFormat="1" applyFont="1" applyAlignment="1">
      <alignment horizontal="center" wrapText="1"/>
    </xf>
    <xf numFmtId="0" fontId="6" fillId="0" borderId="1" xfId="2" applyFont="1" applyBorder="1" applyAlignment="1">
      <alignment vertical="center" wrapText="1"/>
    </xf>
    <xf numFmtId="169" fontId="6" fillId="0" borderId="1" xfId="5" applyNumberFormat="1" applyFont="1" applyFill="1" applyBorder="1" applyAlignment="1">
      <alignment vertical="center" wrapText="1"/>
    </xf>
    <xf numFmtId="169" fontId="4" fillId="0" borderId="1" xfId="0" applyNumberFormat="1" applyFont="1" applyBorder="1" applyAlignment="1">
      <alignment horizontal="right" vertical="center" wrapText="1"/>
    </xf>
    <xf numFmtId="178" fontId="4" fillId="0" borderId="1" xfId="0" applyNumberFormat="1" applyFont="1" applyBorder="1" applyAlignment="1">
      <alignment horizontal="center" vertical="center" wrapText="1"/>
    </xf>
    <xf numFmtId="15" fontId="4" fillId="0" borderId="1" xfId="0" applyNumberFormat="1" applyFont="1" applyBorder="1" applyAlignment="1">
      <alignment vertical="center" wrapText="1"/>
    </xf>
    <xf numFmtId="0" fontId="46" fillId="0" borderId="0" xfId="0" applyFont="1" applyAlignment="1">
      <alignment wrapText="1"/>
    </xf>
    <xf numFmtId="178" fontId="0" fillId="0" borderId="1" xfId="0" applyNumberFormat="1" applyBorder="1" applyAlignment="1">
      <alignment horizontal="center" vertical="center" wrapText="1"/>
    </xf>
    <xf numFmtId="0" fontId="3" fillId="0" borderId="0" xfId="0" applyFont="1" applyAlignment="1">
      <alignment horizontal="center" vertical="center" wrapText="1"/>
    </xf>
    <xf numFmtId="0" fontId="3" fillId="0" borderId="0" xfId="0" applyFont="1" applyAlignment="1">
      <alignment horizontal="center" vertical="center"/>
    </xf>
    <xf numFmtId="0" fontId="3" fillId="0" borderId="1" xfId="0" applyFont="1" applyBorder="1" applyAlignment="1">
      <alignment horizontal="center" vertical="center" wrapText="1"/>
    </xf>
    <xf numFmtId="178" fontId="7" fillId="3" borderId="1" xfId="2" applyNumberFormat="1" applyFont="1" applyFill="1" applyBorder="1" applyAlignment="1">
      <alignment horizontal="center" vertical="center" wrapText="1"/>
    </xf>
    <xf numFmtId="0" fontId="46" fillId="0" borderId="0" xfId="0" applyFont="1" applyAlignment="1">
      <alignment horizontal="center" vertical="center" wrapText="1"/>
    </xf>
    <xf numFmtId="178" fontId="7" fillId="3" borderId="1" xfId="0" applyNumberFormat="1" applyFont="1" applyFill="1" applyBorder="1" applyAlignment="1">
      <alignment horizontal="center" vertical="center" wrapText="1"/>
    </xf>
    <xf numFmtId="0" fontId="3" fillId="0" borderId="1" xfId="0" applyFont="1" applyBorder="1" applyAlignment="1">
      <alignment horizontal="right" wrapText="1"/>
    </xf>
    <xf numFmtId="178" fontId="3" fillId="0" borderId="1" xfId="0" applyNumberFormat="1" applyFont="1" applyBorder="1" applyAlignment="1">
      <alignment horizontal="center" wrapText="1"/>
    </xf>
    <xf numFmtId="0" fontId="3" fillId="0" borderId="1" xfId="0" applyFont="1" applyBorder="1" applyAlignment="1">
      <alignment horizontal="center" wrapText="1"/>
    </xf>
    <xf numFmtId="0" fontId="19" fillId="0" borderId="1" xfId="0" applyFont="1" applyBorder="1" applyAlignment="1">
      <alignment wrapText="1"/>
    </xf>
    <xf numFmtId="0" fontId="16" fillId="0" borderId="1" xfId="2" applyFont="1" applyBorder="1" applyAlignment="1">
      <alignment wrapText="1"/>
    </xf>
    <xf numFmtId="175" fontId="16" fillId="0" borderId="1" xfId="5" applyNumberFormat="1" applyFont="1" applyBorder="1" applyAlignment="1">
      <alignment wrapText="1"/>
    </xf>
    <xf numFmtId="175" fontId="16" fillId="0" borderId="1" xfId="5" applyNumberFormat="1" applyFont="1" applyBorder="1" applyAlignment="1">
      <alignment horizontal="right" wrapText="1"/>
    </xf>
    <xf numFmtId="178" fontId="16" fillId="0" borderId="1" xfId="2" applyNumberFormat="1" applyFont="1" applyBorder="1" applyAlignment="1">
      <alignment horizontal="center" wrapText="1"/>
    </xf>
    <xf numFmtId="0" fontId="6" fillId="0" borderId="1" xfId="2" applyFont="1" applyBorder="1" applyAlignment="1">
      <alignment wrapText="1"/>
    </xf>
    <xf numFmtId="175" fontId="6" fillId="0" borderId="1" xfId="5" applyNumberFormat="1" applyFont="1" applyBorder="1" applyAlignment="1">
      <alignment horizontal="right" wrapText="1"/>
    </xf>
    <xf numFmtId="178" fontId="6" fillId="0" borderId="1" xfId="2" applyNumberFormat="1" applyFont="1" applyBorder="1" applyAlignment="1">
      <alignment horizontal="center" wrapText="1"/>
    </xf>
    <xf numFmtId="175" fontId="6" fillId="0" borderId="1" xfId="5" applyNumberFormat="1" applyFont="1" applyBorder="1" applyAlignment="1">
      <alignment horizontal="right" vertical="center" wrapText="1"/>
    </xf>
    <xf numFmtId="178" fontId="6" fillId="0" borderId="1" xfId="2" applyNumberFormat="1" applyFont="1" applyBorder="1" applyAlignment="1">
      <alignment horizontal="center" vertical="center" wrapText="1"/>
    </xf>
    <xf numFmtId="0" fontId="18" fillId="0" borderId="1" xfId="0" applyFont="1" applyBorder="1" applyAlignment="1">
      <alignment vertical="center" wrapText="1"/>
    </xf>
    <xf numFmtId="175" fontId="1" fillId="0" borderId="1" xfId="0" applyNumberFormat="1" applyFont="1" applyBorder="1" applyAlignment="1">
      <alignment vertical="center" wrapText="1"/>
    </xf>
    <xf numFmtId="0" fontId="6" fillId="0" borderId="1" xfId="2" applyFont="1" applyBorder="1" applyAlignment="1">
      <alignment vertical="justify" wrapText="1"/>
    </xf>
    <xf numFmtId="175" fontId="4" fillId="0" borderId="1" xfId="8" applyNumberFormat="1" applyFont="1" applyBorder="1" applyAlignment="1">
      <alignment horizontal="right"/>
    </xf>
    <xf numFmtId="164" fontId="3" fillId="0" borderId="0" xfId="11" applyFont="1" applyAlignment="1"/>
    <xf numFmtId="176" fontId="6" fillId="0" borderId="1" xfId="5" applyNumberFormat="1" applyFont="1" applyBorder="1" applyAlignment="1">
      <alignment horizontal="right"/>
    </xf>
    <xf numFmtId="0" fontId="4" fillId="0" borderId="1" xfId="0" applyFont="1" applyBorder="1" applyAlignment="1">
      <alignment vertical="center" wrapText="1"/>
    </xf>
    <xf numFmtId="178" fontId="0" fillId="0" borderId="1" xfId="0" applyNumberFormat="1" applyBorder="1" applyAlignment="1">
      <alignment horizontal="center" wrapText="1"/>
    </xf>
    <xf numFmtId="177" fontId="7" fillId="0" borderId="1" xfId="2" applyNumberFormat="1" applyFont="1" applyBorder="1" applyAlignment="1">
      <alignment vertical="center" wrapText="1"/>
    </xf>
    <xf numFmtId="169" fontId="7" fillId="0" borderId="1" xfId="5" applyNumberFormat="1" applyFont="1" applyBorder="1" applyAlignment="1">
      <alignment wrapText="1"/>
    </xf>
    <xf numFmtId="169" fontId="2" fillId="0" borderId="1" xfId="0" applyNumberFormat="1" applyFont="1" applyBorder="1" applyAlignment="1">
      <alignment horizontal="right" wrapText="1"/>
    </xf>
    <xf numFmtId="178" fontId="2" fillId="0" borderId="1" xfId="0" applyNumberFormat="1" applyFont="1" applyBorder="1" applyAlignment="1">
      <alignment horizontal="center" wrapText="1"/>
    </xf>
    <xf numFmtId="0" fontId="5" fillId="0" borderId="1" xfId="0" applyFont="1" applyBorder="1" applyAlignment="1">
      <alignment wrapText="1"/>
    </xf>
    <xf numFmtId="169" fontId="6" fillId="0" borderId="1" xfId="5" applyNumberFormat="1" applyFont="1" applyBorder="1" applyAlignment="1">
      <alignment wrapText="1"/>
    </xf>
    <xf numFmtId="169" fontId="31" fillId="0" borderId="1" xfId="14" applyNumberFormat="1" applyBorder="1" applyAlignment="1">
      <alignment wrapText="1"/>
    </xf>
    <xf numFmtId="0" fontId="7" fillId="0" borderId="1" xfId="2" applyFont="1" applyBorder="1" applyAlignment="1">
      <alignment horizontal="left" vertical="center"/>
    </xf>
    <xf numFmtId="169" fontId="5" fillId="0" borderId="1" xfId="0" applyNumberFormat="1" applyFont="1" applyBorder="1" applyAlignment="1">
      <alignment horizontal="right" wrapText="1"/>
    </xf>
    <xf numFmtId="49" fontId="7" fillId="0" borderId="1" xfId="5" applyNumberFormat="1" applyFont="1" applyBorder="1" applyAlignment="1">
      <alignment horizontal="right" wrapText="1"/>
    </xf>
    <xf numFmtId="177" fontId="3" fillId="0" borderId="1" xfId="0" applyNumberFormat="1" applyFont="1" applyBorder="1" applyAlignment="1">
      <alignment wrapText="1"/>
    </xf>
    <xf numFmtId="4" fontId="0" fillId="0" borderId="12" xfId="0" applyNumberFormat="1" applyBorder="1" applyAlignment="1">
      <alignment vertical="center"/>
    </xf>
    <xf numFmtId="0" fontId="3" fillId="0" borderId="11" xfId="0" applyFont="1" applyBorder="1" applyAlignment="1">
      <alignment vertical="center"/>
    </xf>
    <xf numFmtId="169" fontId="6" fillId="0" borderId="1" xfId="0" applyNumberFormat="1" applyFont="1" applyBorder="1" applyAlignment="1">
      <alignment horizontal="right" wrapText="1"/>
    </xf>
    <xf numFmtId="169" fontId="23" fillId="0" borderId="1" xfId="0" applyNumberFormat="1" applyFont="1" applyBorder="1" applyAlignment="1">
      <alignment horizontal="right" vertical="center" wrapText="1"/>
    </xf>
    <xf numFmtId="171" fontId="6" fillId="16" borderId="1" xfId="0" applyNumberFormat="1" applyFont="1" applyFill="1" applyBorder="1" applyAlignment="1">
      <alignment horizontal="right" wrapText="1"/>
    </xf>
    <xf numFmtId="178" fontId="23" fillId="0" borderId="1" xfId="0" applyNumberFormat="1" applyFont="1" applyBorder="1" applyAlignment="1">
      <alignment horizontal="center" wrapText="1"/>
    </xf>
    <xf numFmtId="0" fontId="23" fillId="0" borderId="1" xfId="0" applyFont="1" applyBorder="1" applyAlignment="1">
      <alignment horizontal="center" vertical="center" wrapText="1"/>
    </xf>
    <xf numFmtId="0" fontId="6" fillId="0" borderId="1" xfId="0" applyFont="1" applyBorder="1" applyAlignment="1">
      <alignment wrapText="1"/>
    </xf>
    <xf numFmtId="169" fontId="0" fillId="0" borderId="1" xfId="0" applyNumberFormat="1" applyBorder="1" applyAlignment="1">
      <alignment wrapText="1"/>
    </xf>
    <xf numFmtId="0" fontId="3" fillId="0" borderId="0" xfId="0" applyFont="1" applyAlignment="1">
      <alignment vertical="center"/>
    </xf>
    <xf numFmtId="0" fontId="3" fillId="0" borderId="1" xfId="0" applyFont="1" applyBorder="1" applyAlignment="1">
      <alignment vertical="center" wrapText="1"/>
    </xf>
    <xf numFmtId="49" fontId="6" fillId="0" borderId="1" xfId="5" applyNumberFormat="1" applyFont="1" applyBorder="1" applyAlignment="1">
      <alignment horizontal="right" vertical="center"/>
    </xf>
    <xf numFmtId="0" fontId="46" fillId="0" borderId="0" xfId="0" applyFont="1" applyAlignment="1">
      <alignment vertical="center" wrapText="1"/>
    </xf>
    <xf numFmtId="169" fontId="4" fillId="0" borderId="1" xfId="0" applyNumberFormat="1" applyFont="1" applyBorder="1" applyAlignment="1">
      <alignment wrapText="1"/>
    </xf>
    <xf numFmtId="178" fontId="4" fillId="0" borderId="1" xfId="0" applyNumberFormat="1" applyFont="1" applyBorder="1" applyAlignment="1">
      <alignment horizontal="center" wrapText="1"/>
    </xf>
    <xf numFmtId="0" fontId="3" fillId="0" borderId="0" xfId="0" applyFont="1" applyAlignment="1">
      <alignment horizontal="center"/>
    </xf>
    <xf numFmtId="0" fontId="46" fillId="0" borderId="0" xfId="0" applyFont="1" applyAlignment="1">
      <alignment horizontal="center" wrapText="1"/>
    </xf>
    <xf numFmtId="169" fontId="4" fillId="0" borderId="1" xfId="0" applyNumberFormat="1" applyFont="1" applyBorder="1" applyAlignment="1">
      <alignment vertical="center" wrapText="1"/>
    </xf>
    <xf numFmtId="178" fontId="1" fillId="0" borderId="1" xfId="0" applyNumberFormat="1" applyFont="1" applyBorder="1" applyAlignment="1">
      <alignment horizontal="center" vertical="center" wrapText="1"/>
    </xf>
    <xf numFmtId="169" fontId="4" fillId="0" borderId="1" xfId="0" applyNumberFormat="1" applyFont="1" applyBorder="1"/>
    <xf numFmtId="177" fontId="3" fillId="0" borderId="0" xfId="0" applyNumberFormat="1" applyFont="1" applyAlignment="1">
      <alignment wrapText="1"/>
    </xf>
    <xf numFmtId="0" fontId="8" fillId="18" borderId="1" xfId="2" applyFont="1" applyFill="1" applyBorder="1" applyAlignment="1">
      <alignment vertical="center" wrapText="1"/>
    </xf>
    <xf numFmtId="8" fontId="6" fillId="0" borderId="1" xfId="2" applyNumberFormat="1" applyFont="1" applyBorder="1" applyAlignment="1">
      <alignment vertical="center" wrapText="1"/>
    </xf>
    <xf numFmtId="164" fontId="6" fillId="0" borderId="1" xfId="11" applyFont="1" applyBorder="1" applyAlignment="1">
      <alignment wrapText="1"/>
    </xf>
    <xf numFmtId="178" fontId="1" fillId="0" borderId="1" xfId="0" applyNumberFormat="1" applyFont="1" applyBorder="1" applyAlignment="1">
      <alignment horizontal="center" wrapText="1"/>
    </xf>
    <xf numFmtId="15" fontId="10" fillId="0" borderId="1" xfId="2" applyNumberFormat="1" applyBorder="1" applyAlignment="1">
      <alignment vertical="center"/>
    </xf>
    <xf numFmtId="169" fontId="1" fillId="0" borderId="1" xfId="0" applyNumberFormat="1" applyFont="1" applyBorder="1" applyAlignment="1">
      <alignment horizontal="right" vertical="center" wrapText="1"/>
    </xf>
    <xf numFmtId="15" fontId="10" fillId="0" borderId="1" xfId="2" applyNumberFormat="1" applyBorder="1"/>
    <xf numFmtId="169" fontId="6" fillId="0" borderId="1" xfId="5" applyNumberFormat="1" applyFont="1" applyFill="1" applyBorder="1" applyAlignment="1">
      <alignment wrapText="1"/>
    </xf>
    <xf numFmtId="178" fontId="7" fillId="14" borderId="1" xfId="2" applyNumberFormat="1" applyFont="1" applyFill="1" applyBorder="1" applyAlignment="1">
      <alignment horizontal="center" vertical="center"/>
    </xf>
    <xf numFmtId="172" fontId="16" fillId="0" borderId="1" xfId="11" applyNumberFormat="1" applyFont="1" applyBorder="1" applyAlignment="1">
      <alignment vertical="center" wrapText="1"/>
    </xf>
    <xf numFmtId="169" fontId="7" fillId="0" borderId="1" xfId="5" applyNumberFormat="1" applyFont="1" applyBorder="1" applyAlignment="1">
      <alignment vertical="center" wrapText="1"/>
    </xf>
    <xf numFmtId="172" fontId="7" fillId="0" borderId="1" xfId="11" applyNumberFormat="1" applyFont="1" applyBorder="1" applyAlignment="1">
      <alignment vertical="center" wrapText="1"/>
    </xf>
    <xf numFmtId="169" fontId="6" fillId="0" borderId="1" xfId="2" applyNumberFormat="1" applyFont="1" applyBorder="1" applyAlignment="1">
      <alignment vertical="center" wrapText="1"/>
    </xf>
    <xf numFmtId="165" fontId="6" fillId="0" borderId="1" xfId="2" applyNumberFormat="1" applyFont="1" applyBorder="1" applyAlignment="1">
      <alignment vertical="center" wrapText="1"/>
    </xf>
    <xf numFmtId="164" fontId="7" fillId="0" borderId="1" xfId="11" applyFont="1" applyBorder="1" applyAlignment="1">
      <alignment vertical="center" wrapText="1"/>
    </xf>
    <xf numFmtId="169" fontId="6" fillId="0" borderId="1" xfId="5" applyNumberFormat="1" applyFont="1" applyBorder="1" applyAlignment="1">
      <alignment horizontal="right"/>
    </xf>
    <xf numFmtId="164" fontId="6" fillId="0" borderId="1" xfId="11" applyFont="1" applyBorder="1" applyAlignment="1">
      <alignment vertical="center"/>
    </xf>
    <xf numFmtId="15" fontId="6" fillId="0" borderId="1" xfId="2" applyNumberFormat="1" applyFont="1" applyBorder="1" applyAlignment="1">
      <alignment vertical="center"/>
    </xf>
    <xf numFmtId="0" fontId="6" fillId="15" borderId="1" xfId="2" applyFont="1" applyFill="1" applyBorder="1" applyAlignment="1">
      <alignment vertical="center" wrapText="1"/>
    </xf>
    <xf numFmtId="164" fontId="0" fillId="15" borderId="1" xfId="11" applyFont="1" applyFill="1" applyBorder="1" applyAlignment="1"/>
    <xf numFmtId="49" fontId="6" fillId="15" borderId="1" xfId="5" applyNumberFormat="1" applyFont="1" applyFill="1" applyBorder="1" applyAlignment="1">
      <alignment horizontal="center"/>
    </xf>
    <xf numFmtId="169" fontId="6" fillId="15" borderId="1" xfId="5" applyNumberFormat="1" applyFont="1" applyFill="1" applyBorder="1" applyAlignment="1">
      <alignment horizontal="right"/>
    </xf>
    <xf numFmtId="178" fontId="4" fillId="15" borderId="1" xfId="0" applyNumberFormat="1" applyFont="1" applyFill="1" applyBorder="1" applyAlignment="1">
      <alignment horizontal="center" vertical="center" wrapText="1"/>
    </xf>
    <xf numFmtId="15" fontId="6" fillId="15" borderId="1" xfId="2" applyNumberFormat="1" applyFont="1" applyFill="1" applyBorder="1" applyAlignment="1">
      <alignment vertical="center" wrapText="1"/>
    </xf>
    <xf numFmtId="169" fontId="6" fillId="15" borderId="1" xfId="5" applyNumberFormat="1" applyFont="1" applyFill="1" applyBorder="1" applyAlignment="1">
      <alignment vertical="center" wrapText="1"/>
    </xf>
    <xf numFmtId="164" fontId="0" fillId="0" borderId="1" xfId="11" applyFont="1" applyBorder="1" applyAlignment="1"/>
    <xf numFmtId="169" fontId="6" fillId="0" borderId="1" xfId="2" applyNumberFormat="1" applyFont="1" applyBorder="1" applyAlignment="1">
      <alignment horizontal="right" vertical="center" wrapText="1"/>
    </xf>
    <xf numFmtId="49" fontId="6" fillId="0" borderId="1" xfId="2" applyNumberFormat="1" applyFont="1" applyBorder="1" applyAlignment="1">
      <alignment horizontal="center" vertical="center" wrapText="1"/>
    </xf>
    <xf numFmtId="0" fontId="7" fillId="14" borderId="1" xfId="2" applyFont="1" applyFill="1" applyBorder="1" applyAlignment="1">
      <alignment vertical="justify" wrapText="1"/>
    </xf>
    <xf numFmtId="49" fontId="7" fillId="14" borderId="1" xfId="2" applyNumberFormat="1" applyFont="1" applyFill="1" applyBorder="1" applyAlignment="1">
      <alignment vertical="justify" wrapText="1"/>
    </xf>
    <xf numFmtId="0" fontId="7" fillId="2" borderId="1" xfId="2" applyFont="1" applyFill="1" applyBorder="1" applyAlignment="1">
      <alignment vertical="center"/>
    </xf>
    <xf numFmtId="0" fontId="7" fillId="2" borderId="1" xfId="2" applyFont="1" applyFill="1" applyBorder="1" applyAlignment="1">
      <alignment horizontal="right" vertical="center"/>
    </xf>
    <xf numFmtId="178" fontId="7" fillId="2" borderId="1" xfId="2" applyNumberFormat="1" applyFont="1" applyFill="1" applyBorder="1" applyAlignment="1">
      <alignment horizontal="center" vertical="center"/>
    </xf>
    <xf numFmtId="0" fontId="7" fillId="2" borderId="1" xfId="2" applyFont="1" applyFill="1" applyBorder="1" applyAlignment="1">
      <alignment horizontal="center" vertical="center"/>
    </xf>
    <xf numFmtId="0" fontId="6" fillId="0" borderId="6" xfId="0" applyFont="1" applyBorder="1" applyAlignment="1">
      <alignment vertical="center" wrapText="1"/>
    </xf>
    <xf numFmtId="0" fontId="6" fillId="0" borderId="6" xfId="0" applyFont="1" applyBorder="1" applyAlignment="1">
      <alignment horizontal="right" vertical="center" wrapText="1"/>
    </xf>
    <xf numFmtId="178" fontId="6" fillId="0" borderId="6" xfId="0" applyNumberFormat="1" applyFont="1" applyBorder="1" applyAlignment="1">
      <alignment horizontal="center" vertical="center" wrapText="1"/>
    </xf>
    <xf numFmtId="0" fontId="21" fillId="0" borderId="1" xfId="12" applyFont="1" applyBorder="1" applyAlignment="1">
      <alignment horizontal="center" vertical="center"/>
    </xf>
    <xf numFmtId="17" fontId="21" fillId="0" borderId="1" xfId="12" applyNumberFormat="1" applyFont="1" applyBorder="1" applyAlignment="1">
      <alignment horizontal="center" vertical="center"/>
    </xf>
    <xf numFmtId="0" fontId="1" fillId="0" borderId="55" xfId="12" applyBorder="1"/>
    <xf numFmtId="0" fontId="1" fillId="0" borderId="56" xfId="12" applyBorder="1"/>
    <xf numFmtId="0" fontId="4" fillId="0" borderId="0" xfId="0" applyFont="1" applyFill="1" applyAlignment="1">
      <alignment wrapText="1"/>
    </xf>
    <xf numFmtId="0" fontId="3" fillId="0" borderId="0" xfId="0" applyFont="1" applyFill="1" applyAlignment="1">
      <alignment wrapText="1"/>
    </xf>
    <xf numFmtId="0" fontId="2" fillId="20" borderId="0" xfId="12" applyFont="1" applyFill="1" applyAlignment="1">
      <alignment horizontal="center" vertical="center" wrapText="1"/>
    </xf>
    <xf numFmtId="0" fontId="1" fillId="0" borderId="0" xfId="12" applyBorder="1"/>
    <xf numFmtId="0" fontId="1" fillId="0" borderId="21" xfId="12" applyBorder="1"/>
    <xf numFmtId="0" fontId="36" fillId="0" borderId="0" xfId="15" applyFont="1" applyAlignment="1">
      <alignment horizontal="center" vertical="center"/>
    </xf>
    <xf numFmtId="0" fontId="38" fillId="0" borderId="0" xfId="15" applyFont="1" applyAlignment="1">
      <alignment horizontal="center" vertical="center"/>
    </xf>
    <xf numFmtId="0" fontId="38" fillId="0" borderId="0" xfId="15" applyFont="1" applyAlignment="1">
      <alignment horizontal="center"/>
    </xf>
    <xf numFmtId="0" fontId="39" fillId="0" borderId="0" xfId="15" applyFont="1" applyAlignment="1">
      <alignment horizontal="center" vertical="center"/>
    </xf>
    <xf numFmtId="0" fontId="11" fillId="0" borderId="0" xfId="0" applyFont="1" applyAlignment="1">
      <alignment horizontal="center" vertical="center"/>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0" fontId="7" fillId="0" borderId="1" xfId="0" applyFont="1" applyFill="1" applyBorder="1" applyAlignment="1">
      <alignment horizontal="center" vertical="center" wrapText="1"/>
    </xf>
    <xf numFmtId="0" fontId="6" fillId="0" borderId="1" xfId="0" applyFont="1" applyFill="1" applyBorder="1" applyAlignment="1">
      <alignment horizontal="center" vertical="center" wrapText="1"/>
    </xf>
    <xf numFmtId="0" fontId="12" fillId="12" borderId="13" xfId="0" applyFont="1" applyFill="1" applyBorder="1" applyAlignment="1">
      <alignment horizontal="center" vertical="center" textRotation="90" wrapText="1"/>
    </xf>
    <xf numFmtId="17" fontId="21" fillId="0" borderId="1" xfId="12" applyNumberFormat="1" applyFont="1" applyBorder="1" applyAlignment="1">
      <alignment horizontal="center" vertical="center"/>
    </xf>
    <xf numFmtId="0" fontId="39" fillId="0" borderId="57" xfId="15" applyFont="1" applyBorder="1" applyAlignment="1">
      <alignment vertical="center"/>
    </xf>
    <xf numFmtId="9" fontId="18" fillId="17" borderId="4" xfId="1" applyFont="1" applyFill="1" applyBorder="1" applyAlignment="1">
      <alignment horizontal="center" vertical="center" wrapText="1"/>
    </xf>
    <xf numFmtId="1" fontId="18" fillId="17" borderId="12" xfId="0" applyNumberFormat="1" applyFont="1" applyFill="1" applyBorder="1" applyAlignment="1">
      <alignment vertical="center"/>
    </xf>
    <xf numFmtId="9" fontId="18" fillId="0" borderId="4" xfId="1" applyFont="1" applyBorder="1" applyAlignment="1">
      <alignment horizontal="center" vertical="center" wrapText="1"/>
    </xf>
    <xf numFmtId="9" fontId="18" fillId="0" borderId="4" xfId="1" applyFont="1" applyBorder="1" applyAlignment="1">
      <alignment horizontal="center"/>
    </xf>
    <xf numFmtId="1" fontId="11" fillId="0" borderId="27" xfId="0" applyNumberFormat="1" applyFont="1" applyBorder="1" applyAlignment="1">
      <alignment vertical="center"/>
    </xf>
    <xf numFmtId="9" fontId="18" fillId="0" borderId="7" xfId="1" applyFont="1" applyBorder="1" applyAlignment="1">
      <alignment horizontal="center"/>
    </xf>
    <xf numFmtId="9" fontId="18" fillId="0" borderId="34" xfId="1" applyFont="1" applyBorder="1" applyAlignment="1">
      <alignment horizontal="center"/>
    </xf>
    <xf numFmtId="14" fontId="28" fillId="0" borderId="11" xfId="12" applyNumberFormat="1" applyFont="1" applyBorder="1" applyAlignment="1">
      <alignment horizontal="center" vertical="center"/>
    </xf>
    <xf numFmtId="0" fontId="2" fillId="0" borderId="11" xfId="12" applyFont="1" applyBorder="1" applyAlignment="1">
      <alignment horizontal="center" vertical="center"/>
    </xf>
    <xf numFmtId="0" fontId="29" fillId="0" borderId="17" xfId="12" applyFont="1" applyBorder="1" applyAlignment="1">
      <alignment vertical="center"/>
    </xf>
    <xf numFmtId="0" fontId="29" fillId="0" borderId="15" xfId="12" applyFont="1" applyBorder="1" applyAlignment="1">
      <alignment vertical="center"/>
    </xf>
    <xf numFmtId="0" fontId="29" fillId="0" borderId="16" xfId="12" applyFont="1" applyBorder="1" applyAlignment="1">
      <alignment vertical="center"/>
    </xf>
    <xf numFmtId="0" fontId="29" fillId="0" borderId="21" xfId="12" applyFont="1" applyBorder="1" applyAlignment="1">
      <alignment vertical="center"/>
    </xf>
    <xf numFmtId="0" fontId="29" fillId="0" borderId="0" xfId="12" applyFont="1" applyAlignment="1">
      <alignment vertical="center"/>
    </xf>
    <xf numFmtId="0" fontId="29" fillId="0" borderId="20" xfId="12" applyFont="1" applyBorder="1" applyAlignment="1">
      <alignment vertical="center"/>
    </xf>
    <xf numFmtId="0" fontId="0" fillId="0" borderId="6" xfId="0" applyBorder="1"/>
    <xf numFmtId="0" fontId="0" fillId="0" borderId="9" xfId="0" applyBorder="1"/>
    <xf numFmtId="14" fontId="60" fillId="0" borderId="1" xfId="12" applyNumberFormat="1" applyFont="1" applyBorder="1" applyAlignment="1">
      <alignment horizontal="center" vertical="center"/>
    </xf>
    <xf numFmtId="0" fontId="2" fillId="0" borderId="1" xfId="12" applyFont="1" applyBorder="1" applyAlignment="1">
      <alignment horizontal="center" vertical="center"/>
    </xf>
    <xf numFmtId="17" fontId="2" fillId="0" borderId="1" xfId="12" applyNumberFormat="1" applyFont="1" applyBorder="1" applyAlignment="1">
      <alignment horizontal="center" vertical="center"/>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8" fontId="3" fillId="0" borderId="0" xfId="0" applyNumberFormat="1" applyFont="1" applyAlignment="1">
      <alignment horizontal="right" wrapText="1"/>
    </xf>
    <xf numFmtId="0" fontId="64" fillId="23" borderId="42" xfId="0" applyFont="1" applyFill="1" applyBorder="1" applyAlignment="1">
      <alignment horizontal="right" vertical="center" wrapText="1"/>
    </xf>
    <xf numFmtId="8" fontId="65" fillId="0" borderId="59" xfId="0" applyNumberFormat="1" applyFont="1" applyBorder="1" applyAlignment="1">
      <alignment horizontal="right" vertical="center" wrapText="1"/>
    </xf>
    <xf numFmtId="0" fontId="3" fillId="18" borderId="0" xfId="0" applyFont="1" applyFill="1" applyAlignment="1">
      <alignment wrapText="1"/>
    </xf>
    <xf numFmtId="0" fontId="3" fillId="18" borderId="1" xfId="0" applyFont="1" applyFill="1" applyBorder="1" applyAlignment="1">
      <alignment wrapText="1"/>
    </xf>
    <xf numFmtId="0" fontId="6" fillId="18" borderId="1" xfId="2" applyFont="1" applyFill="1" applyBorder="1" applyAlignment="1">
      <alignment wrapText="1"/>
    </xf>
    <xf numFmtId="175" fontId="6" fillId="18" borderId="1" xfId="5" applyNumberFormat="1" applyFont="1" applyFill="1" applyBorder="1" applyAlignment="1">
      <alignment wrapText="1"/>
    </xf>
    <xf numFmtId="49" fontId="6" fillId="18" borderId="1" xfId="5" applyNumberFormat="1" applyFont="1" applyFill="1" applyBorder="1" applyAlignment="1">
      <alignment horizontal="right"/>
    </xf>
    <xf numFmtId="171" fontId="17" fillId="24" borderId="1" xfId="0" applyNumberFormat="1" applyFont="1" applyFill="1" applyBorder="1" applyAlignment="1">
      <alignment horizontal="right" wrapText="1"/>
    </xf>
    <xf numFmtId="175" fontId="6" fillId="18" borderId="1" xfId="5" applyNumberFormat="1" applyFont="1" applyFill="1" applyBorder="1" applyAlignment="1">
      <alignment horizontal="right" wrapText="1"/>
    </xf>
    <xf numFmtId="178" fontId="6" fillId="18" borderId="1" xfId="2" applyNumberFormat="1" applyFont="1" applyFill="1" applyBorder="1" applyAlignment="1">
      <alignment horizontal="center" wrapText="1"/>
    </xf>
    <xf numFmtId="0" fontId="18" fillId="18" borderId="1" xfId="0" applyFont="1" applyFill="1" applyBorder="1" applyAlignment="1">
      <alignment wrapText="1"/>
    </xf>
    <xf numFmtId="175" fontId="1" fillId="18" borderId="1" xfId="0" applyNumberFormat="1" applyFont="1" applyFill="1" applyBorder="1" applyAlignment="1">
      <alignment wrapText="1"/>
    </xf>
    <xf numFmtId="38" fontId="6" fillId="18" borderId="1" xfId="2" applyNumberFormat="1" applyFont="1" applyFill="1" applyBorder="1" applyAlignment="1">
      <alignment horizontal="center" wrapText="1"/>
    </xf>
    <xf numFmtId="0" fontId="4" fillId="18" borderId="1" xfId="0" applyFont="1" applyFill="1" applyBorder="1" applyAlignment="1">
      <alignment horizontal="center" wrapText="1"/>
    </xf>
    <xf numFmtId="0" fontId="6" fillId="18" borderId="1" xfId="2" applyFont="1" applyFill="1" applyBorder="1" applyAlignment="1">
      <alignment horizontal="center" wrapText="1"/>
    </xf>
    <xf numFmtId="0" fontId="46" fillId="18" borderId="0" xfId="0" applyFont="1" applyFill="1" applyAlignment="1">
      <alignment wrapText="1"/>
    </xf>
    <xf numFmtId="4" fontId="4" fillId="0" borderId="1" xfId="0" applyNumberFormat="1" applyFont="1" applyBorder="1" applyAlignment="1">
      <alignment horizontal="right" vertical="center" wrapText="1"/>
    </xf>
    <xf numFmtId="178" fontId="4" fillId="18" borderId="1" xfId="0" applyNumberFormat="1" applyFont="1" applyFill="1" applyBorder="1" applyAlignment="1">
      <alignment horizontal="center" vertical="center" wrapText="1"/>
    </xf>
    <xf numFmtId="0" fontId="12" fillId="12" borderId="13" xfId="0" applyFont="1" applyFill="1" applyBorder="1" applyAlignment="1">
      <alignment horizontal="center" vertical="center" textRotation="90" wrapText="1"/>
    </xf>
    <xf numFmtId="0" fontId="1" fillId="8" borderId="0" xfId="12" applyFill="1"/>
    <xf numFmtId="0" fontId="6" fillId="18" borderId="1" xfId="2" applyFont="1" applyFill="1" applyBorder="1" applyAlignment="1">
      <alignment vertical="center" wrapText="1"/>
    </xf>
    <xf numFmtId="169" fontId="6" fillId="18" borderId="1" xfId="0" applyNumberFormat="1" applyFont="1" applyFill="1" applyBorder="1" applyAlignment="1">
      <alignment horizontal="right" wrapText="1"/>
    </xf>
    <xf numFmtId="178" fontId="23" fillId="18" borderId="1" xfId="0" applyNumberFormat="1" applyFont="1" applyFill="1" applyBorder="1" applyAlignment="1">
      <alignment horizontal="center" wrapText="1"/>
    </xf>
    <xf numFmtId="169" fontId="23" fillId="18" borderId="1" xfId="0" applyNumberFormat="1" applyFont="1" applyFill="1" applyBorder="1" applyAlignment="1">
      <alignment horizontal="right" vertical="center" wrapText="1"/>
    </xf>
    <xf numFmtId="38" fontId="6" fillId="18" borderId="1" xfId="2" applyNumberFormat="1" applyFont="1" applyFill="1" applyBorder="1" applyAlignment="1">
      <alignment horizontal="center" vertical="center" wrapText="1"/>
    </xf>
    <xf numFmtId="0" fontId="23" fillId="18" borderId="1" xfId="0" applyFont="1" applyFill="1" applyBorder="1" applyAlignment="1">
      <alignment horizontal="center" vertical="center" wrapText="1"/>
    </xf>
    <xf numFmtId="0" fontId="6" fillId="18" borderId="1" xfId="2" applyFont="1" applyFill="1" applyBorder="1" applyAlignment="1">
      <alignment horizontal="center" vertical="center" wrapText="1"/>
    </xf>
    <xf numFmtId="49" fontId="6" fillId="0" borderId="1" xfId="5" applyNumberFormat="1" applyFont="1" applyFill="1" applyBorder="1" applyAlignment="1">
      <alignment horizontal="right" vertical="center"/>
    </xf>
    <xf numFmtId="171" fontId="17" fillId="0" borderId="1" xfId="0" applyNumberFormat="1" applyFont="1" applyBorder="1" applyAlignment="1">
      <alignment horizontal="right" vertical="center" wrapText="1"/>
    </xf>
    <xf numFmtId="169" fontId="6" fillId="0" borderId="1" xfId="5" applyNumberFormat="1" applyFont="1" applyFill="1" applyBorder="1" applyAlignment="1">
      <alignment horizontal="right" vertical="center" wrapText="1"/>
    </xf>
    <xf numFmtId="175" fontId="6" fillId="0" borderId="1" xfId="5" applyNumberFormat="1" applyFont="1" applyFill="1" applyBorder="1" applyAlignment="1">
      <alignment wrapText="1"/>
    </xf>
    <xf numFmtId="49" fontId="6" fillId="0" borderId="1" xfId="5" applyNumberFormat="1" applyFont="1" applyFill="1" applyBorder="1" applyAlignment="1">
      <alignment horizontal="right"/>
    </xf>
    <xf numFmtId="171" fontId="17" fillId="0" borderId="1" xfId="0" applyNumberFormat="1" applyFont="1" applyBorder="1" applyAlignment="1">
      <alignment horizontal="right" wrapText="1"/>
    </xf>
    <xf numFmtId="175" fontId="6" fillId="0" borderId="1" xfId="5" applyNumberFormat="1" applyFont="1" applyFill="1" applyBorder="1" applyAlignment="1">
      <alignment horizontal="right" wrapText="1"/>
    </xf>
    <xf numFmtId="14" fontId="6" fillId="0" borderId="5" xfId="0" applyNumberFormat="1" applyFont="1" applyBorder="1" applyAlignment="1">
      <alignment horizontal="left" vertical="center" wrapText="1"/>
    </xf>
    <xf numFmtId="0" fontId="7" fillId="0" borderId="0" xfId="0" applyFont="1" applyFill="1" applyBorder="1" applyAlignment="1">
      <alignment horizontal="left" vertical="center" wrapText="1"/>
    </xf>
    <xf numFmtId="0" fontId="7" fillId="0" borderId="4" xfId="0" applyFont="1" applyBorder="1" applyAlignment="1">
      <alignment horizontal="center" vertical="center" wrapText="1"/>
    </xf>
    <xf numFmtId="0" fontId="7" fillId="0" borderId="3" xfId="0" applyFont="1" applyBorder="1" applyAlignment="1">
      <alignment horizontal="center" vertical="center" wrapText="1"/>
    </xf>
    <xf numFmtId="0" fontId="21" fillId="0" borderId="1" xfId="12" applyFont="1" applyBorder="1" applyAlignment="1">
      <alignment horizontal="center" vertical="center"/>
    </xf>
    <xf numFmtId="38" fontId="6" fillId="6" borderId="1" xfId="0" applyNumberFormat="1" applyFont="1" applyFill="1" applyBorder="1" applyAlignment="1">
      <alignment horizontal="center" vertical="center" wrapText="1"/>
    </xf>
    <xf numFmtId="0" fontId="21" fillId="0" borderId="1" xfId="12" applyFont="1" applyBorder="1" applyAlignment="1">
      <alignment horizontal="center" vertical="center"/>
    </xf>
    <xf numFmtId="0" fontId="2" fillId="0" borderId="7" xfId="12" applyFont="1" applyBorder="1" applyAlignment="1">
      <alignment horizontal="center" vertical="center"/>
    </xf>
    <xf numFmtId="0" fontId="2" fillId="21" borderId="16" xfId="12" applyFont="1" applyFill="1" applyBorder="1" applyAlignment="1">
      <alignment horizontal="center" vertical="center" wrapText="1"/>
    </xf>
    <xf numFmtId="0" fontId="2" fillId="21" borderId="24" xfId="12" applyFont="1" applyFill="1" applyBorder="1" applyAlignment="1">
      <alignment horizontal="center" vertical="center" wrapText="1"/>
    </xf>
    <xf numFmtId="0" fontId="3" fillId="0" borderId="0" xfId="12" applyFont="1"/>
    <xf numFmtId="0" fontId="36" fillId="0" borderId="1" xfId="15" applyFont="1" applyBorder="1" applyAlignment="1">
      <alignment horizontal="center" vertical="center" wrapText="1"/>
    </xf>
    <xf numFmtId="0" fontId="38" fillId="0" borderId="1" xfId="15" applyFont="1" applyBorder="1" applyAlignment="1">
      <alignment horizontal="center" vertical="center"/>
    </xf>
    <xf numFmtId="0" fontId="36" fillId="0" borderId="2" xfId="15" applyFont="1" applyBorder="1" applyAlignment="1">
      <alignment horizontal="center" vertical="center"/>
    </xf>
    <xf numFmtId="0" fontId="36" fillId="0" borderId="25" xfId="15" applyFont="1" applyBorder="1" applyAlignment="1">
      <alignment horizontal="center" vertical="center"/>
    </xf>
    <xf numFmtId="0" fontId="18" fillId="0" borderId="0" xfId="0" applyFont="1" applyAlignment="1">
      <alignment horizontal="left" vertical="top"/>
    </xf>
    <xf numFmtId="0" fontId="21" fillId="0" borderId="1" xfId="12" applyFont="1" applyBorder="1" applyAlignment="1">
      <alignment horizontal="center" vertical="center"/>
    </xf>
    <xf numFmtId="0" fontId="6" fillId="0" borderId="1" xfId="0" applyFont="1" applyBorder="1" applyAlignment="1">
      <alignment horizontal="center" vertical="center" wrapText="1"/>
    </xf>
    <xf numFmtId="0" fontId="7" fillId="0" borderId="1" xfId="2" applyFont="1" applyBorder="1" applyAlignment="1">
      <alignment horizontal="center" vertical="center"/>
    </xf>
    <xf numFmtId="0" fontId="6" fillId="0" borderId="6" xfId="0" applyFont="1" applyBorder="1" applyAlignment="1">
      <alignment horizontal="center" vertical="center" wrapText="1"/>
    </xf>
    <xf numFmtId="0" fontId="4" fillId="0" borderId="1" xfId="0" applyFont="1" applyBorder="1" applyAlignment="1">
      <alignment horizontal="center" vertical="center" wrapText="1"/>
    </xf>
    <xf numFmtId="0" fontId="3" fillId="0" borderId="0" xfId="0" applyFont="1" applyAlignment="1">
      <alignment horizontal="center" wrapText="1"/>
    </xf>
    <xf numFmtId="0" fontId="7" fillId="3" borderId="1" xfId="0" applyFont="1" applyFill="1" applyBorder="1" applyAlignment="1">
      <alignment horizontal="center" vertical="center" wrapText="1"/>
    </xf>
    <xf numFmtId="0" fontId="6" fillId="0" borderId="1" xfId="0" applyFont="1" applyBorder="1" applyAlignment="1">
      <alignment horizontal="center" wrapText="1"/>
    </xf>
    <xf numFmtId="0" fontId="6" fillId="0" borderId="1" xfId="2" applyFont="1" applyBorder="1" applyAlignment="1">
      <alignment horizontal="center" vertical="center" wrapText="1"/>
    </xf>
    <xf numFmtId="38" fontId="10" fillId="0" borderId="2" xfId="0" applyNumberFormat="1" applyFont="1" applyBorder="1" applyAlignment="1">
      <alignment horizontal="left" vertical="center" wrapText="1"/>
    </xf>
    <xf numFmtId="38" fontId="10" fillId="0" borderId="3" xfId="0" applyNumberFormat="1" applyFont="1" applyBorder="1" applyAlignment="1">
      <alignment horizontal="left" vertical="center" wrapText="1"/>
    </xf>
    <xf numFmtId="38" fontId="10" fillId="0" borderId="4" xfId="0" applyNumberFormat="1" applyFont="1" applyBorder="1" applyAlignment="1">
      <alignment horizontal="left" vertical="center" wrapText="1"/>
    </xf>
    <xf numFmtId="14" fontId="6" fillId="0" borderId="2" xfId="0" applyNumberFormat="1" applyFont="1" applyBorder="1" applyAlignment="1">
      <alignment horizontal="center" vertical="center" wrapText="1"/>
    </xf>
    <xf numFmtId="14" fontId="6" fillId="0" borderId="4" xfId="0" applyNumberFormat="1" applyFont="1" applyBorder="1" applyAlignment="1">
      <alignment horizontal="center" vertical="center" wrapText="1"/>
    </xf>
    <xf numFmtId="0" fontId="7" fillId="0" borderId="2" xfId="0" applyFont="1" applyBorder="1" applyAlignment="1">
      <alignment horizontal="center" vertical="center" wrapText="1"/>
    </xf>
    <xf numFmtId="0" fontId="7" fillId="0" borderId="4" xfId="0" applyFont="1" applyBorder="1" applyAlignment="1">
      <alignment horizontal="center" vertical="center" wrapText="1"/>
    </xf>
    <xf numFmtId="38" fontId="6" fillId="6" borderId="1" xfId="0" applyNumberFormat="1" applyFont="1" applyFill="1" applyBorder="1" applyAlignment="1">
      <alignment horizontal="center" vertical="center" wrapText="1"/>
    </xf>
    <xf numFmtId="14" fontId="6" fillId="6" borderId="1" xfId="0" applyNumberFormat="1" applyFont="1" applyFill="1" applyBorder="1" applyAlignment="1">
      <alignment horizontal="center" vertical="center" wrapText="1"/>
    </xf>
    <xf numFmtId="38" fontId="10" fillId="0" borderId="2" xfId="0" applyNumberFormat="1" applyFont="1" applyBorder="1" applyAlignment="1">
      <alignment vertical="center" wrapText="1"/>
    </xf>
    <xf numFmtId="38" fontId="10" fillId="0" borderId="3" xfId="0" applyNumberFormat="1" applyFont="1" applyBorder="1" applyAlignment="1">
      <alignment vertical="center" wrapText="1"/>
    </xf>
    <xf numFmtId="38" fontId="10" fillId="0" borderId="4" xfId="0" applyNumberFormat="1" applyFont="1" applyBorder="1" applyAlignment="1">
      <alignment vertical="center" wrapText="1"/>
    </xf>
    <xf numFmtId="0" fontId="4" fillId="0" borderId="2" xfId="0" applyFont="1" applyBorder="1" applyAlignment="1">
      <alignment horizontal="center" vertical="center" wrapText="1"/>
    </xf>
    <xf numFmtId="0" fontId="4" fillId="0" borderId="3" xfId="0" applyFont="1" applyBorder="1" applyAlignment="1">
      <alignment horizontal="center" vertical="center" wrapText="1"/>
    </xf>
    <xf numFmtId="0" fontId="4" fillId="0" borderId="4" xfId="0" applyFont="1" applyBorder="1" applyAlignment="1">
      <alignment horizontal="center" vertical="center" wrapText="1"/>
    </xf>
    <xf numFmtId="0" fontId="4" fillId="0" borderId="1" xfId="0" applyFont="1" applyBorder="1" applyAlignment="1">
      <alignment horizontal="center" vertical="center" wrapText="1"/>
    </xf>
    <xf numFmtId="38" fontId="6" fillId="6" borderId="1" xfId="0" applyNumberFormat="1" applyFont="1" applyFill="1" applyBorder="1" applyAlignment="1">
      <alignment horizontal="left" vertical="center" wrapText="1"/>
    </xf>
    <xf numFmtId="0" fontId="2" fillId="12" borderId="2" xfId="0" applyFont="1" applyFill="1" applyBorder="1" applyAlignment="1">
      <alignment horizontal="center" vertical="center" wrapText="1"/>
    </xf>
    <xf numFmtId="0" fontId="5" fillId="12" borderId="3" xfId="0" applyFont="1" applyFill="1" applyBorder="1" applyAlignment="1">
      <alignment horizontal="center" vertical="center" wrapText="1"/>
    </xf>
    <xf numFmtId="0" fontId="5" fillId="12" borderId="4" xfId="0" applyFont="1" applyFill="1" applyBorder="1" applyAlignment="1">
      <alignment horizontal="center" vertical="center" wrapText="1"/>
    </xf>
    <xf numFmtId="0" fontId="7" fillId="0" borderId="1" xfId="0" applyFont="1" applyBorder="1" applyAlignment="1">
      <alignment horizontal="center" vertical="center" wrapText="1"/>
    </xf>
    <xf numFmtId="0" fontId="6" fillId="0" borderId="2" xfId="2" applyFont="1" applyBorder="1" applyAlignment="1">
      <alignment horizontal="center" vertical="center"/>
    </xf>
    <xf numFmtId="0" fontId="6" fillId="0" borderId="4" xfId="2" applyFont="1" applyBorder="1" applyAlignment="1">
      <alignment horizontal="center" vertical="center"/>
    </xf>
    <xf numFmtId="0" fontId="6" fillId="0" borderId="2" xfId="2" applyFont="1" applyBorder="1" applyAlignment="1">
      <alignment horizontal="center" vertical="center" wrapText="1"/>
    </xf>
    <xf numFmtId="0" fontId="6" fillId="0" borderId="4" xfId="2" applyFont="1" applyBorder="1" applyAlignment="1">
      <alignment horizontal="center" vertical="center" wrapText="1"/>
    </xf>
    <xf numFmtId="0" fontId="17" fillId="0" borderId="2" xfId="0" applyFont="1" applyBorder="1" applyAlignment="1">
      <alignment horizontal="center" vertical="center" wrapText="1"/>
    </xf>
    <xf numFmtId="0" fontId="17" fillId="0" borderId="4" xfId="0" applyFont="1" applyBorder="1" applyAlignment="1">
      <alignment horizontal="center" vertical="center" wrapText="1"/>
    </xf>
    <xf numFmtId="0" fontId="6" fillId="0" borderId="3" xfId="2" applyFont="1" applyBorder="1" applyAlignment="1">
      <alignment horizontal="center" vertical="center" wrapText="1"/>
    </xf>
    <xf numFmtId="0" fontId="6" fillId="0" borderId="2" xfId="2" applyFont="1" applyBorder="1" applyAlignment="1">
      <alignment horizontal="left" vertical="center" wrapText="1"/>
    </xf>
    <xf numFmtId="0" fontId="6" fillId="0" borderId="3" xfId="2" applyFont="1" applyBorder="1" applyAlignment="1">
      <alignment horizontal="left" vertical="center" wrapText="1"/>
    </xf>
    <xf numFmtId="0" fontId="6" fillId="0" borderId="4" xfId="2" applyFont="1" applyBorder="1" applyAlignment="1">
      <alignment horizontal="left" vertical="center" wrapText="1"/>
    </xf>
    <xf numFmtId="0" fontId="6" fillId="0" borderId="3" xfId="2" applyFont="1" applyBorder="1" applyAlignment="1">
      <alignment horizontal="center" vertical="center"/>
    </xf>
    <xf numFmtId="0" fontId="7" fillId="8" borderId="2" xfId="0" applyFont="1" applyFill="1" applyBorder="1" applyAlignment="1">
      <alignment horizontal="left" vertical="center" wrapText="1"/>
    </xf>
    <xf numFmtId="0" fontId="7" fillId="8" borderId="3" xfId="0" applyFont="1" applyFill="1" applyBorder="1" applyAlignment="1">
      <alignment horizontal="left" vertical="center" wrapText="1"/>
    </xf>
    <xf numFmtId="0" fontId="7" fillId="8" borderId="4" xfId="0" applyFont="1" applyFill="1" applyBorder="1" applyAlignment="1">
      <alignment horizontal="left" vertical="center" wrapText="1"/>
    </xf>
    <xf numFmtId="49" fontId="4" fillId="0" borderId="2" xfId="0" applyNumberFormat="1" applyFont="1" applyBorder="1" applyAlignment="1">
      <alignment horizontal="center" vertical="center" wrapText="1"/>
    </xf>
    <xf numFmtId="49" fontId="4" fillId="0" borderId="4" xfId="0" applyNumberFormat="1" applyFont="1" applyBorder="1" applyAlignment="1">
      <alignment horizontal="center" vertical="center" wrapText="1"/>
    </xf>
    <xf numFmtId="0" fontId="7" fillId="11" borderId="2" xfId="0" applyFont="1" applyFill="1" applyBorder="1" applyAlignment="1">
      <alignment horizontal="center" vertical="center" wrapText="1"/>
    </xf>
    <xf numFmtId="0" fontId="7" fillId="11" borderId="3" xfId="0" applyFont="1" applyFill="1" applyBorder="1" applyAlignment="1">
      <alignment horizontal="center" vertical="center" wrapText="1"/>
    </xf>
    <xf numFmtId="0" fontId="7" fillId="11" borderId="4" xfId="0" applyFont="1" applyFill="1" applyBorder="1" applyAlignment="1">
      <alignment horizontal="center" vertical="center" wrapText="1"/>
    </xf>
    <xf numFmtId="2" fontId="6" fillId="22" borderId="2" xfId="1" applyNumberFormat="1" applyFont="1" applyFill="1" applyBorder="1" applyAlignment="1">
      <alignment horizontal="center" vertical="center" wrapText="1"/>
    </xf>
    <xf numFmtId="2" fontId="6" fillId="22" borderId="3" xfId="1" applyNumberFormat="1" applyFont="1" applyFill="1" applyBorder="1" applyAlignment="1">
      <alignment horizontal="center" vertical="center" wrapText="1"/>
    </xf>
    <xf numFmtId="2" fontId="6" fillId="22" borderId="4" xfId="1" applyNumberFormat="1" applyFont="1" applyFill="1" applyBorder="1" applyAlignment="1">
      <alignment horizontal="center" vertical="center" wrapText="1"/>
    </xf>
    <xf numFmtId="38" fontId="4" fillId="6" borderId="2" xfId="0" applyNumberFormat="1" applyFont="1" applyFill="1" applyBorder="1" applyAlignment="1">
      <alignment horizontal="center" vertical="center" wrapText="1"/>
    </xf>
    <xf numFmtId="38" fontId="4" fillId="6" borderId="3" xfId="0" applyNumberFormat="1" applyFont="1" applyFill="1" applyBorder="1" applyAlignment="1">
      <alignment horizontal="center" vertical="center" wrapText="1"/>
    </xf>
    <xf numFmtId="38" fontId="4" fillId="6" borderId="4" xfId="0" applyNumberFormat="1" applyFont="1" applyFill="1" applyBorder="1" applyAlignment="1">
      <alignment horizontal="center" vertical="center" wrapText="1"/>
    </xf>
    <xf numFmtId="0" fontId="7" fillId="0" borderId="5" xfId="2" applyFont="1" applyBorder="1" applyAlignment="1">
      <alignment horizontal="center" vertical="center" wrapText="1"/>
    </xf>
    <xf numFmtId="0" fontId="7" fillId="0" borderId="6"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9" xfId="2" applyFont="1" applyBorder="1" applyAlignment="1">
      <alignment horizontal="center" vertical="center" wrapText="1"/>
    </xf>
    <xf numFmtId="0" fontId="7" fillId="0" borderId="10" xfId="2" applyFont="1" applyBorder="1" applyAlignment="1">
      <alignment horizontal="center" vertical="center" wrapText="1"/>
    </xf>
    <xf numFmtId="38" fontId="4" fillId="6" borderId="1" xfId="0" applyNumberFormat="1" applyFont="1" applyFill="1" applyBorder="1" applyAlignment="1">
      <alignment vertical="center" wrapText="1"/>
    </xf>
    <xf numFmtId="0" fontId="7" fillId="3" borderId="1" xfId="0" applyFont="1" applyFill="1" applyBorder="1" applyAlignment="1">
      <alignment horizontal="center" vertical="center" wrapText="1"/>
    </xf>
    <xf numFmtId="38" fontId="6" fillId="6" borderId="2" xfId="0" applyNumberFormat="1" applyFont="1" applyFill="1" applyBorder="1" applyAlignment="1">
      <alignment horizontal="center" vertical="center" wrapText="1"/>
    </xf>
    <xf numFmtId="38" fontId="6" fillId="6" borderId="3" xfId="0" applyNumberFormat="1" applyFont="1" applyFill="1" applyBorder="1" applyAlignment="1">
      <alignment horizontal="center" vertical="center" wrapText="1"/>
    </xf>
    <xf numFmtId="38" fontId="6" fillId="6" borderId="4" xfId="0" applyNumberFormat="1" applyFont="1" applyFill="1" applyBorder="1" applyAlignment="1">
      <alignment horizontal="center" vertical="center" wrapText="1"/>
    </xf>
    <xf numFmtId="0" fontId="5" fillId="0" borderId="1" xfId="0" applyFont="1" applyBorder="1" applyAlignment="1">
      <alignment horizontal="center" vertical="center" wrapText="1"/>
    </xf>
    <xf numFmtId="38" fontId="7" fillId="3" borderId="2" xfId="0" applyNumberFormat="1" applyFont="1" applyFill="1" applyBorder="1" applyAlignment="1">
      <alignment horizontal="center" vertical="center" wrapText="1"/>
    </xf>
    <xf numFmtId="38" fontId="7" fillId="3" borderId="4" xfId="0" applyNumberFormat="1" applyFont="1" applyFill="1" applyBorder="1" applyAlignment="1">
      <alignment horizontal="center" vertical="center" wrapText="1"/>
    </xf>
    <xf numFmtId="49" fontId="6" fillId="6" borderId="1" xfId="0" applyNumberFormat="1" applyFont="1" applyFill="1" applyBorder="1" applyAlignment="1">
      <alignment horizontal="center" vertical="center" wrapText="1"/>
    </xf>
    <xf numFmtId="0" fontId="6" fillId="0" borderId="1" xfId="2" applyFont="1" applyBorder="1" applyAlignment="1">
      <alignment horizontal="center" vertical="center" wrapText="1"/>
    </xf>
    <xf numFmtId="0" fontId="7" fillId="8" borderId="8" xfId="2" applyFont="1" applyFill="1" applyBorder="1" applyAlignment="1">
      <alignment horizontal="left" vertical="center"/>
    </xf>
    <xf numFmtId="0" fontId="7" fillId="8" borderId="9" xfId="2" applyFont="1" applyFill="1" applyBorder="1" applyAlignment="1">
      <alignment horizontal="left" vertical="center"/>
    </xf>
    <xf numFmtId="0" fontId="7" fillId="8" borderId="10" xfId="2" applyFont="1" applyFill="1" applyBorder="1" applyAlignment="1">
      <alignment horizontal="left" vertical="center"/>
    </xf>
    <xf numFmtId="38" fontId="7" fillId="3" borderId="5" xfId="0" applyNumberFormat="1" applyFont="1" applyFill="1" applyBorder="1" applyAlignment="1">
      <alignment horizontal="center" vertical="center" wrapText="1"/>
    </xf>
    <xf numFmtId="38" fontId="7" fillId="3" borderId="6" xfId="0" applyNumberFormat="1" applyFont="1" applyFill="1" applyBorder="1" applyAlignment="1">
      <alignment horizontal="center" vertical="center" wrapText="1"/>
    </xf>
    <xf numFmtId="38" fontId="7" fillId="3" borderId="7" xfId="0" applyNumberFormat="1" applyFont="1" applyFill="1" applyBorder="1" applyAlignment="1">
      <alignment horizontal="center" vertical="center" wrapText="1"/>
    </xf>
    <xf numFmtId="38" fontId="6" fillId="0" borderId="1" xfId="0" applyNumberFormat="1" applyFont="1" applyFill="1" applyBorder="1" applyAlignment="1">
      <alignment horizontal="center" vertical="center" wrapText="1"/>
    </xf>
    <xf numFmtId="9" fontId="6" fillId="0" borderId="11" xfId="0" applyNumberFormat="1" applyFont="1" applyFill="1" applyBorder="1" applyAlignment="1">
      <alignment horizontal="center" vertical="center" wrapText="1"/>
    </xf>
    <xf numFmtId="14" fontId="6" fillId="0" borderId="11" xfId="0" applyNumberFormat="1" applyFont="1" applyFill="1" applyBorder="1" applyAlignment="1">
      <alignment horizontal="center" vertical="center" wrapText="1"/>
    </xf>
    <xf numFmtId="9" fontId="6" fillId="0" borderId="1" xfId="0" applyNumberFormat="1" applyFont="1" applyFill="1" applyBorder="1" applyAlignment="1">
      <alignment horizontal="center" vertical="center" wrapText="1"/>
    </xf>
    <xf numFmtId="14" fontId="6" fillId="0" borderId="1" xfId="0" applyNumberFormat="1" applyFont="1" applyFill="1" applyBorder="1" applyAlignment="1">
      <alignment horizontal="center" vertical="center" wrapText="1"/>
    </xf>
    <xf numFmtId="0" fontId="7" fillId="14" borderId="5" xfId="0" applyFont="1" applyFill="1" applyBorder="1" applyAlignment="1">
      <alignment horizontal="center" vertical="center" wrapText="1"/>
    </xf>
    <xf numFmtId="0" fontId="7" fillId="14" borderId="7" xfId="0" applyFont="1" applyFill="1" applyBorder="1" applyAlignment="1">
      <alignment horizontal="center" vertical="center" wrapText="1"/>
    </xf>
    <xf numFmtId="0" fontId="7" fillId="3" borderId="2" xfId="0" applyFont="1" applyFill="1" applyBorder="1" applyAlignment="1">
      <alignment horizontal="center" vertical="center" wrapText="1"/>
    </xf>
    <xf numFmtId="0" fontId="7" fillId="3" borderId="3" xfId="0" applyFont="1" applyFill="1" applyBorder="1" applyAlignment="1">
      <alignment horizontal="center" vertical="center" wrapText="1"/>
    </xf>
    <xf numFmtId="0" fontId="7" fillId="3" borderId="4" xfId="0" applyFont="1" applyFill="1" applyBorder="1" applyAlignment="1">
      <alignment horizontal="center" vertical="center" wrapText="1"/>
    </xf>
    <xf numFmtId="0" fontId="6" fillId="0" borderId="2" xfId="0" applyFont="1" applyBorder="1" applyAlignment="1">
      <alignment horizontal="left" vertical="center" wrapText="1"/>
    </xf>
    <xf numFmtId="0" fontId="6" fillId="0" borderId="3" xfId="0" applyFont="1" applyBorder="1" applyAlignment="1">
      <alignment horizontal="left" vertical="center" wrapText="1"/>
    </xf>
    <xf numFmtId="0" fontId="6" fillId="0" borderId="4" xfId="0" applyFont="1" applyBorder="1" applyAlignment="1">
      <alignment horizontal="left" vertical="center" wrapText="1"/>
    </xf>
    <xf numFmtId="0" fontId="7" fillId="3" borderId="5" xfId="0" applyFont="1" applyFill="1" applyBorder="1" applyAlignment="1">
      <alignment horizontal="center" vertical="center" wrapText="1"/>
    </xf>
    <xf numFmtId="0" fontId="7" fillId="3" borderId="7" xfId="0" applyFont="1" applyFill="1" applyBorder="1" applyAlignment="1">
      <alignment horizontal="center" vertical="center" wrapText="1"/>
    </xf>
    <xf numFmtId="0" fontId="7" fillId="7" borderId="2" xfId="0" applyFont="1" applyFill="1" applyBorder="1" applyAlignment="1">
      <alignment horizontal="left" vertical="center" wrapText="1"/>
    </xf>
    <xf numFmtId="0" fontId="7" fillId="7" borderId="3" xfId="0" applyFont="1" applyFill="1" applyBorder="1" applyAlignment="1">
      <alignment horizontal="left" vertical="center" wrapText="1"/>
    </xf>
    <xf numFmtId="0" fontId="7" fillId="7" borderId="4" xfId="0" applyFont="1" applyFill="1" applyBorder="1" applyAlignment="1">
      <alignment horizontal="left" vertical="center" wrapText="1"/>
    </xf>
    <xf numFmtId="38" fontId="7" fillId="14" borderId="5" xfId="0" applyNumberFormat="1" applyFont="1" applyFill="1" applyBorder="1" applyAlignment="1">
      <alignment horizontal="center" vertical="center" wrapText="1"/>
    </xf>
    <xf numFmtId="38" fontId="7" fillId="14" borderId="6" xfId="0" applyNumberFormat="1" applyFont="1" applyFill="1" applyBorder="1" applyAlignment="1">
      <alignment horizontal="center" vertical="center" wrapText="1"/>
    </xf>
    <xf numFmtId="38" fontId="7" fillId="14" borderId="7" xfId="0" applyNumberFormat="1" applyFont="1" applyFill="1" applyBorder="1" applyAlignment="1">
      <alignment horizontal="center" vertical="center" wrapText="1"/>
    </xf>
    <xf numFmtId="0" fontId="6" fillId="0" borderId="1" xfId="0" applyNumberFormat="1" applyFont="1" applyFill="1" applyBorder="1" applyAlignment="1">
      <alignment horizontal="center" vertical="center" wrapText="1"/>
    </xf>
    <xf numFmtId="38" fontId="6" fillId="0" borderId="1" xfId="0" applyNumberFormat="1" applyFont="1" applyFill="1" applyBorder="1" applyAlignment="1">
      <alignment vertical="center" wrapText="1"/>
    </xf>
    <xf numFmtId="38" fontId="6" fillId="0" borderId="11" xfId="0" applyNumberFormat="1" applyFont="1" applyFill="1" applyBorder="1" applyAlignment="1">
      <alignment horizontal="left" vertical="center" wrapText="1"/>
    </xf>
    <xf numFmtId="0" fontId="6" fillId="0" borderId="1" xfId="0" applyFont="1" applyFill="1" applyBorder="1" applyAlignment="1">
      <alignment horizontal="center" vertical="center" wrapText="1"/>
    </xf>
    <xf numFmtId="38" fontId="6" fillId="6" borderId="2" xfId="0" applyNumberFormat="1" applyFont="1" applyFill="1" applyBorder="1" applyAlignment="1">
      <alignment horizontal="left" vertical="center" wrapText="1"/>
    </xf>
    <xf numFmtId="38" fontId="6" fillId="6" borderId="3" xfId="0" applyNumberFormat="1" applyFont="1" applyFill="1" applyBorder="1" applyAlignment="1">
      <alignment horizontal="left" vertical="center" wrapText="1"/>
    </xf>
    <xf numFmtId="38" fontId="6" fillId="6" borderId="4" xfId="0" applyNumberFormat="1" applyFont="1" applyFill="1" applyBorder="1" applyAlignment="1">
      <alignment horizontal="left" vertical="center" wrapText="1"/>
    </xf>
    <xf numFmtId="0" fontId="6" fillId="0" borderId="1" xfId="2" applyFont="1" applyBorder="1" applyAlignment="1">
      <alignment horizontal="left" vertical="center" wrapText="1"/>
    </xf>
    <xf numFmtId="10" fontId="7" fillId="0" borderId="1" xfId="1" applyNumberFormat="1" applyFont="1" applyBorder="1" applyAlignment="1">
      <alignment horizontal="center" vertical="center" wrapText="1"/>
    </xf>
    <xf numFmtId="15" fontId="6" fillId="0" borderId="2" xfId="0" applyNumberFormat="1" applyFont="1" applyBorder="1" applyAlignment="1">
      <alignment horizontal="center" vertical="center" wrapText="1"/>
    </xf>
    <xf numFmtId="15" fontId="6" fillId="0" borderId="4" xfId="0" applyNumberFormat="1" applyFont="1" applyBorder="1" applyAlignment="1">
      <alignment horizontal="center" vertical="center" wrapText="1"/>
    </xf>
    <xf numFmtId="0" fontId="42" fillId="0" borderId="2" xfId="2" applyFont="1" applyBorder="1" applyAlignment="1">
      <alignment horizontal="left" vertical="center" wrapText="1"/>
    </xf>
    <xf numFmtId="0" fontId="7" fillId="0" borderId="2" xfId="2" applyFont="1" applyBorder="1" applyAlignment="1">
      <alignment horizontal="center" vertical="center"/>
    </xf>
    <xf numFmtId="0" fontId="7" fillId="0" borderId="3" xfId="2" applyFont="1" applyBorder="1" applyAlignment="1">
      <alignment horizontal="center" vertical="center"/>
    </xf>
    <xf numFmtId="0" fontId="7" fillId="0" borderId="4" xfId="2" applyFont="1" applyBorder="1" applyAlignment="1">
      <alignment horizontal="center" vertical="center"/>
    </xf>
    <xf numFmtId="15" fontId="6" fillId="0" borderId="1" xfId="0" applyNumberFormat="1" applyFont="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Alignment="1">
      <alignment horizontal="center" vertical="center" wrapText="1"/>
    </xf>
    <xf numFmtId="0" fontId="6" fillId="0" borderId="14"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6" fillId="0" borderId="1" xfId="0" applyFont="1" applyBorder="1" applyAlignment="1">
      <alignment horizontal="left" vertical="center" wrapText="1"/>
    </xf>
    <xf numFmtId="168" fontId="6" fillId="6" borderId="1" xfId="3" applyNumberFormat="1" applyFont="1" applyFill="1" applyBorder="1" applyAlignment="1">
      <alignment horizontal="center" vertical="center"/>
    </xf>
    <xf numFmtId="0" fontId="12" fillId="0" borderId="2" xfId="0" applyFont="1" applyBorder="1" applyAlignment="1">
      <alignment horizontal="center" vertical="center" textRotation="90" wrapText="1"/>
    </xf>
    <xf numFmtId="0" fontId="12" fillId="0" borderId="3" xfId="0" applyFont="1" applyBorder="1" applyAlignment="1">
      <alignment horizontal="center" vertical="center" textRotation="90" wrapText="1"/>
    </xf>
    <xf numFmtId="0" fontId="12" fillId="0" borderId="4" xfId="0" applyFont="1" applyBorder="1" applyAlignment="1">
      <alignment horizontal="center" vertical="center" textRotation="90"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0" xfId="0" applyFont="1" applyAlignment="1">
      <alignment horizontal="center" vertical="center" wrapText="1"/>
    </xf>
    <xf numFmtId="0" fontId="7" fillId="0" borderId="14"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0" fontId="7" fillId="0" borderId="2" xfId="0" applyFont="1" applyBorder="1" applyAlignment="1">
      <alignment horizontal="center" vertical="center"/>
    </xf>
    <xf numFmtId="0" fontId="7" fillId="0" borderId="4" xfId="0" applyFont="1" applyBorder="1" applyAlignment="1">
      <alignment horizontal="center" vertical="center"/>
    </xf>
    <xf numFmtId="0" fontId="12" fillId="12" borderId="11" xfId="0" applyFont="1" applyFill="1" applyBorder="1" applyAlignment="1">
      <alignment horizontal="center" vertical="center" textRotation="90" wrapText="1"/>
    </xf>
    <xf numFmtId="0" fontId="12" fillId="12" borderId="46" xfId="0" applyFont="1" applyFill="1" applyBorder="1" applyAlignment="1">
      <alignment horizontal="center" vertical="center" textRotation="90" wrapText="1"/>
    </xf>
    <xf numFmtId="0" fontId="20" fillId="0" borderId="2" xfId="0" applyFont="1" applyBorder="1" applyAlignment="1">
      <alignment horizontal="center" vertical="center" wrapText="1"/>
    </xf>
    <xf numFmtId="0" fontId="20" fillId="0" borderId="3" xfId="0" applyFont="1" applyBorder="1" applyAlignment="1">
      <alignment horizontal="center" vertical="center" wrapText="1"/>
    </xf>
    <xf numFmtId="0" fontId="20" fillId="0" borderId="9" xfId="0" applyFont="1" applyBorder="1" applyAlignment="1">
      <alignment horizontal="center" vertical="center" wrapText="1"/>
    </xf>
    <xf numFmtId="0" fontId="20" fillId="0" borderId="10" xfId="0" applyFont="1" applyBorder="1" applyAlignment="1">
      <alignment horizontal="center"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10" fontId="6" fillId="0" borderId="1" xfId="1" applyNumberFormat="1" applyFont="1" applyBorder="1" applyAlignment="1">
      <alignment horizontal="center" vertical="center" wrapText="1"/>
    </xf>
    <xf numFmtId="38" fontId="6" fillId="0" borderId="1" xfId="0" applyNumberFormat="1" applyFont="1" applyFill="1" applyBorder="1" applyAlignment="1">
      <alignment horizontal="left" vertical="center" wrapText="1"/>
    </xf>
    <xf numFmtId="38" fontId="7" fillId="0" borderId="1" xfId="0" applyNumberFormat="1" applyFont="1" applyFill="1" applyBorder="1" applyAlignment="1">
      <alignment horizontal="center" vertical="center" wrapText="1"/>
    </xf>
    <xf numFmtId="0" fontId="6" fillId="0" borderId="11" xfId="0" applyNumberFormat="1" applyFont="1" applyFill="1" applyBorder="1" applyAlignment="1">
      <alignment horizontal="center" vertical="center" wrapText="1"/>
    </xf>
    <xf numFmtId="49" fontId="6" fillId="0" borderId="1" xfId="0" applyNumberFormat="1" applyFont="1" applyFill="1" applyBorder="1" applyAlignment="1">
      <alignment horizontal="center" vertical="center" wrapText="1"/>
    </xf>
    <xf numFmtId="9" fontId="4" fillId="0" borderId="1" xfId="0" applyNumberFormat="1" applyFont="1" applyFill="1" applyBorder="1" applyAlignment="1">
      <alignment horizontal="center" vertical="center" wrapText="1"/>
    </xf>
    <xf numFmtId="38" fontId="4" fillId="0" borderId="1" xfId="0" applyNumberFormat="1" applyFont="1" applyFill="1" applyBorder="1" applyAlignment="1">
      <alignment horizontal="left" vertical="center" wrapText="1"/>
    </xf>
    <xf numFmtId="0" fontId="4" fillId="0" borderId="11" xfId="0" applyNumberFormat="1" applyFont="1" applyFill="1" applyBorder="1" applyAlignment="1">
      <alignment horizontal="center" vertical="center" wrapText="1"/>
    </xf>
    <xf numFmtId="14" fontId="4" fillId="0" borderId="1" xfId="0" applyNumberFormat="1" applyFont="1" applyFill="1" applyBorder="1" applyAlignment="1">
      <alignment horizontal="center" vertical="center" wrapText="1"/>
    </xf>
    <xf numFmtId="0" fontId="6" fillId="6" borderId="1" xfId="0" applyFont="1" applyFill="1" applyBorder="1" applyAlignment="1">
      <alignment horizontal="center" vertical="center" wrapText="1"/>
    </xf>
    <xf numFmtId="14" fontId="6" fillId="0" borderId="1" xfId="0" applyNumberFormat="1" applyFont="1" applyBorder="1" applyAlignment="1">
      <alignment horizontal="center" vertical="center" wrapText="1"/>
    </xf>
    <xf numFmtId="0" fontId="6" fillId="0" borderId="1" xfId="0" applyFont="1" applyBorder="1" applyAlignment="1">
      <alignment horizontal="center" vertical="center" wrapText="1"/>
    </xf>
    <xf numFmtId="9" fontId="4" fillId="0" borderId="11" xfId="0" applyNumberFormat="1" applyFont="1" applyFill="1" applyBorder="1" applyAlignment="1">
      <alignment horizontal="center" vertical="center" wrapText="1"/>
    </xf>
    <xf numFmtId="14" fontId="4" fillId="0" borderId="11" xfId="0" applyNumberFormat="1" applyFont="1" applyFill="1" applyBorder="1" applyAlignment="1">
      <alignment horizontal="center" vertical="center" wrapText="1"/>
    </xf>
    <xf numFmtId="0" fontId="4" fillId="0" borderId="1" xfId="0" applyNumberFormat="1" applyFont="1" applyFill="1" applyBorder="1" applyAlignment="1">
      <alignment horizontal="center" vertical="center" wrapText="1"/>
    </xf>
    <xf numFmtId="0" fontId="6" fillId="0" borderId="1" xfId="0" applyNumberFormat="1" applyFont="1" applyFill="1" applyBorder="1" applyAlignment="1">
      <alignment horizontal="center" vertical="center"/>
    </xf>
    <xf numFmtId="0" fontId="6" fillId="0" borderId="11" xfId="0" applyNumberFormat="1" applyFont="1" applyFill="1" applyBorder="1" applyAlignment="1">
      <alignment horizontal="center" vertical="center"/>
    </xf>
    <xf numFmtId="0" fontId="7" fillId="2" borderId="1" xfId="0" applyFont="1" applyFill="1" applyBorder="1" applyAlignment="1">
      <alignment horizontal="left" vertical="center" wrapText="1"/>
    </xf>
    <xf numFmtId="38" fontId="7" fillId="3" borderId="3" xfId="0" applyNumberFormat="1" applyFont="1" applyFill="1" applyBorder="1" applyAlignment="1">
      <alignment horizontal="center" vertical="center" wrapText="1"/>
    </xf>
    <xf numFmtId="38" fontId="6" fillId="0" borderId="11" xfId="0" applyNumberFormat="1" applyFont="1" applyFill="1" applyBorder="1" applyAlignment="1">
      <alignment horizontal="center" vertical="center" wrapText="1"/>
    </xf>
    <xf numFmtId="38" fontId="6" fillId="0" borderId="11" xfId="0" applyNumberFormat="1" applyFont="1" applyFill="1" applyBorder="1" applyAlignment="1">
      <alignment vertical="center" wrapText="1"/>
    </xf>
    <xf numFmtId="38" fontId="4" fillId="0" borderId="11" xfId="0" applyNumberFormat="1" applyFont="1" applyFill="1" applyBorder="1" applyAlignment="1">
      <alignment horizontal="left" vertical="center" wrapText="1"/>
    </xf>
    <xf numFmtId="14" fontId="4" fillId="18" borderId="1" xfId="0" applyNumberFormat="1" applyFont="1" applyFill="1" applyBorder="1" applyAlignment="1">
      <alignment horizontal="center" vertical="center" wrapText="1"/>
    </xf>
    <xf numFmtId="0" fontId="6" fillId="0" borderId="1" xfId="0" applyFont="1" applyBorder="1" applyAlignment="1">
      <alignment horizontal="center" wrapText="1"/>
    </xf>
    <xf numFmtId="0" fontId="7" fillId="2" borderId="1" xfId="0" applyFont="1" applyFill="1" applyBorder="1" applyAlignment="1">
      <alignment horizontal="center" vertical="center" wrapText="1"/>
    </xf>
    <xf numFmtId="166" fontId="4" fillId="0" borderId="1" xfId="0" applyNumberFormat="1" applyFont="1" applyBorder="1" applyAlignment="1">
      <alignment horizontal="center" vertical="center" wrapText="1"/>
    </xf>
    <xf numFmtId="0" fontId="6" fillId="4" borderId="2" xfId="0" applyFont="1" applyFill="1" applyBorder="1" applyAlignment="1">
      <alignment horizontal="center" vertical="center" wrapText="1"/>
    </xf>
    <xf numFmtId="0" fontId="6" fillId="4" borderId="3" xfId="0" applyFont="1" applyFill="1" applyBorder="1" applyAlignment="1">
      <alignment horizontal="center" vertical="center" wrapText="1"/>
    </xf>
    <xf numFmtId="0" fontId="6" fillId="4" borderId="4" xfId="0" applyFont="1" applyFill="1" applyBorder="1" applyAlignment="1">
      <alignment horizontal="center" vertical="center" wrapText="1"/>
    </xf>
    <xf numFmtId="0" fontId="6" fillId="4" borderId="5" xfId="0" applyFont="1" applyFill="1" applyBorder="1" applyAlignment="1">
      <alignment horizontal="center" vertical="center" wrapText="1"/>
    </xf>
    <xf numFmtId="0" fontId="6" fillId="4" borderId="6" xfId="0" applyFont="1" applyFill="1" applyBorder="1" applyAlignment="1">
      <alignment horizontal="center" vertical="center" wrapText="1"/>
    </xf>
    <xf numFmtId="0" fontId="6" fillId="4" borderId="7" xfId="0" applyFont="1" applyFill="1" applyBorder="1" applyAlignment="1">
      <alignment horizontal="center" vertical="center" wrapText="1"/>
    </xf>
    <xf numFmtId="0" fontId="6" fillId="4" borderId="8" xfId="0" applyFont="1" applyFill="1" applyBorder="1" applyAlignment="1">
      <alignment horizontal="center" vertical="center" wrapText="1"/>
    </xf>
    <xf numFmtId="0" fontId="6" fillId="4" borderId="9" xfId="0" applyFont="1" applyFill="1" applyBorder="1" applyAlignment="1">
      <alignment horizontal="center" vertical="center" wrapText="1"/>
    </xf>
    <xf numFmtId="0" fontId="6" fillId="4" borderId="10" xfId="0" applyFont="1" applyFill="1" applyBorder="1" applyAlignment="1">
      <alignment horizontal="center" vertical="center" wrapText="1"/>
    </xf>
    <xf numFmtId="38" fontId="7" fillId="3" borderId="8" xfId="0" applyNumberFormat="1" applyFont="1" applyFill="1" applyBorder="1" applyAlignment="1">
      <alignment horizontal="center" vertical="center" wrapText="1"/>
    </xf>
    <xf numFmtId="38" fontId="7" fillId="3" borderId="9" xfId="0" applyNumberFormat="1" applyFont="1" applyFill="1" applyBorder="1" applyAlignment="1">
      <alignment horizontal="center" vertical="center" wrapText="1"/>
    </xf>
    <xf numFmtId="38" fontId="7" fillId="3" borderId="10" xfId="0" applyNumberFormat="1" applyFont="1" applyFill="1" applyBorder="1" applyAlignment="1">
      <alignment horizontal="center" vertical="center" wrapText="1"/>
    </xf>
    <xf numFmtId="38" fontId="7" fillId="3" borderId="5" xfId="0" applyNumberFormat="1" applyFont="1" applyFill="1" applyBorder="1" applyAlignment="1">
      <alignment horizontal="center" vertical="center"/>
    </xf>
    <xf numFmtId="38" fontId="7" fillId="3" borderId="6" xfId="0" applyNumberFormat="1" applyFont="1" applyFill="1" applyBorder="1" applyAlignment="1">
      <alignment horizontal="center" vertical="center"/>
    </xf>
    <xf numFmtId="38" fontId="7" fillId="3" borderId="7" xfId="0" applyNumberFormat="1" applyFont="1" applyFill="1" applyBorder="1" applyAlignment="1">
      <alignment horizontal="center" vertical="center"/>
    </xf>
    <xf numFmtId="38" fontId="7" fillId="3" borderId="8" xfId="0" applyNumberFormat="1" applyFont="1" applyFill="1" applyBorder="1" applyAlignment="1">
      <alignment horizontal="center" vertical="center"/>
    </xf>
    <xf numFmtId="38" fontId="7" fillId="3" borderId="9" xfId="0" applyNumberFormat="1" applyFont="1" applyFill="1" applyBorder="1" applyAlignment="1">
      <alignment horizontal="center" vertical="center"/>
    </xf>
    <xf numFmtId="38" fontId="7" fillId="3" borderId="10" xfId="0" applyNumberFormat="1" applyFont="1" applyFill="1" applyBorder="1" applyAlignment="1">
      <alignment horizontal="center" vertical="center"/>
    </xf>
    <xf numFmtId="38" fontId="7" fillId="3" borderId="1" xfId="0" applyNumberFormat="1" applyFont="1" applyFill="1" applyBorder="1" applyAlignment="1">
      <alignment horizontal="center" vertical="center" wrapText="1"/>
    </xf>
    <xf numFmtId="0" fontId="7" fillId="0" borderId="1" xfId="2" applyFont="1" applyBorder="1" applyAlignment="1">
      <alignment horizontal="center" vertical="center"/>
    </xf>
    <xf numFmtId="0" fontId="7" fillId="0" borderId="3" xfId="0" applyFont="1" applyBorder="1" applyAlignment="1">
      <alignment horizontal="center" vertical="center" wrapText="1"/>
    </xf>
    <xf numFmtId="0" fontId="8" fillId="0" borderId="2" xfId="0" applyFont="1" applyBorder="1" applyAlignment="1">
      <alignment horizontal="center" vertical="center" wrapText="1"/>
    </xf>
    <xf numFmtId="0" fontId="8" fillId="0" borderId="3" xfId="0" applyFont="1" applyBorder="1" applyAlignment="1">
      <alignment horizontal="center" vertical="center" wrapText="1"/>
    </xf>
    <xf numFmtId="0" fontId="8" fillId="0" borderId="4" xfId="0" applyFont="1" applyBorder="1" applyAlignment="1">
      <alignment horizontal="center" vertical="center" wrapText="1"/>
    </xf>
    <xf numFmtId="0" fontId="33" fillId="0" borderId="5" xfId="0" applyFont="1" applyBorder="1" applyAlignment="1">
      <alignment horizontal="center" vertical="center" wrapText="1"/>
    </xf>
    <xf numFmtId="0" fontId="33" fillId="0" borderId="6" xfId="0" applyFont="1" applyBorder="1" applyAlignment="1">
      <alignment horizontal="center" vertical="center" wrapText="1"/>
    </xf>
    <xf numFmtId="0" fontId="33" fillId="0" borderId="7" xfId="0" applyFont="1" applyBorder="1" applyAlignment="1">
      <alignment horizontal="center" vertical="center" wrapText="1"/>
    </xf>
    <xf numFmtId="0" fontId="33" fillId="0" borderId="8" xfId="0" applyFont="1" applyBorder="1" applyAlignment="1">
      <alignment horizontal="center" vertical="center" wrapText="1"/>
    </xf>
    <xf numFmtId="0" fontId="33" fillId="0" borderId="9" xfId="0" applyFont="1" applyBorder="1" applyAlignment="1">
      <alignment horizontal="center" vertical="center" wrapText="1"/>
    </xf>
    <xf numFmtId="0" fontId="33" fillId="0" borderId="10" xfId="0" applyFont="1" applyBorder="1" applyAlignment="1">
      <alignment horizontal="center" vertical="center" wrapText="1"/>
    </xf>
    <xf numFmtId="0" fontId="6" fillId="4" borderId="13" xfId="0" applyFont="1" applyFill="1" applyBorder="1" applyAlignment="1">
      <alignment horizontal="center" vertical="center" wrapText="1"/>
    </xf>
    <xf numFmtId="0" fontId="6" fillId="4" borderId="0" xfId="0" applyFont="1" applyFill="1" applyAlignment="1">
      <alignment horizontal="center" vertical="center" wrapText="1"/>
    </xf>
    <xf numFmtId="0" fontId="6" fillId="4" borderId="14" xfId="0" applyFont="1" applyFill="1" applyBorder="1" applyAlignment="1">
      <alignment horizontal="center"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6" fillId="4" borderId="1" xfId="0" applyFont="1" applyFill="1" applyBorder="1" applyAlignment="1">
      <alignment horizontal="center" vertical="center" wrapText="1"/>
    </xf>
    <xf numFmtId="0" fontId="5" fillId="0" borderId="5" xfId="0" applyFont="1" applyBorder="1" applyAlignment="1">
      <alignment horizontal="center" vertical="center" wrapText="1"/>
    </xf>
    <xf numFmtId="0" fontId="5" fillId="0" borderId="6" xfId="0" applyFont="1" applyBorder="1" applyAlignment="1">
      <alignment horizontal="center" vertical="center" wrapText="1"/>
    </xf>
    <xf numFmtId="0" fontId="5" fillId="0" borderId="7" xfId="0" applyFont="1" applyBorder="1" applyAlignment="1">
      <alignment horizontal="center" vertical="center" wrapText="1"/>
    </xf>
    <xf numFmtId="0" fontId="5" fillId="0" borderId="13" xfId="0" applyFont="1" applyBorder="1" applyAlignment="1">
      <alignment horizontal="center" vertical="center" wrapText="1"/>
    </xf>
    <xf numFmtId="0" fontId="5" fillId="0" borderId="0" xfId="0" applyFont="1" applyAlignment="1">
      <alignment horizontal="center" vertical="center" wrapText="1"/>
    </xf>
    <xf numFmtId="0" fontId="5" fillId="0" borderId="14" xfId="0" applyFont="1" applyBorder="1" applyAlignment="1">
      <alignment horizontal="center" vertical="center" wrapText="1"/>
    </xf>
    <xf numFmtId="0" fontId="5" fillId="0" borderId="8" xfId="0" applyFont="1" applyBorder="1" applyAlignment="1">
      <alignment horizontal="center" vertical="center" wrapText="1"/>
    </xf>
    <xf numFmtId="0" fontId="5" fillId="0" borderId="9" xfId="0" applyFont="1" applyBorder="1" applyAlignment="1">
      <alignment horizontal="center" vertical="center" wrapText="1"/>
    </xf>
    <xf numFmtId="0" fontId="5" fillId="0" borderId="10" xfId="0" applyFont="1" applyBorder="1" applyAlignment="1">
      <alignment horizontal="center" vertical="center" wrapText="1"/>
    </xf>
    <xf numFmtId="0" fontId="33" fillId="0" borderId="13" xfId="0" applyFont="1" applyBorder="1" applyAlignment="1">
      <alignment horizontal="center" vertical="center" wrapText="1"/>
    </xf>
    <xf numFmtId="0" fontId="33" fillId="0" borderId="0" xfId="0" applyFont="1" applyAlignment="1">
      <alignment horizontal="center" vertical="center" wrapText="1"/>
    </xf>
    <xf numFmtId="0" fontId="33" fillId="0" borderId="14" xfId="0" applyFont="1" applyBorder="1" applyAlignment="1">
      <alignment horizontal="center"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0" fontId="4" fillId="6" borderId="5" xfId="0" applyFont="1" applyFill="1" applyBorder="1" applyAlignment="1">
      <alignment horizontal="center" vertical="center" wrapText="1"/>
    </xf>
    <xf numFmtId="0" fontId="4" fillId="6" borderId="6" xfId="0" applyFont="1" applyFill="1" applyBorder="1" applyAlignment="1">
      <alignment horizontal="center" vertical="center" wrapText="1"/>
    </xf>
    <xf numFmtId="0" fontId="4" fillId="6" borderId="7" xfId="0" applyFont="1" applyFill="1" applyBorder="1" applyAlignment="1">
      <alignment horizontal="center" vertical="center" wrapText="1"/>
    </xf>
    <xf numFmtId="0" fontId="4" fillId="6" borderId="8" xfId="0" applyFont="1" applyFill="1" applyBorder="1" applyAlignment="1">
      <alignment horizontal="center" vertical="center" wrapText="1"/>
    </xf>
    <xf numFmtId="0" fontId="4" fillId="6" borderId="9" xfId="0" applyFont="1" applyFill="1" applyBorder="1" applyAlignment="1">
      <alignment horizontal="center" vertical="center" wrapText="1"/>
    </xf>
    <xf numFmtId="0" fontId="4" fillId="6" borderId="10" xfId="0" applyFont="1" applyFill="1" applyBorder="1" applyAlignment="1">
      <alignment horizontal="center" vertical="center" wrapText="1"/>
    </xf>
    <xf numFmtId="0" fontId="4" fillId="6" borderId="2" xfId="0" applyFont="1" applyFill="1" applyBorder="1" applyAlignment="1">
      <alignment horizontal="center" vertical="center" wrapText="1"/>
    </xf>
    <xf numFmtId="0" fontId="4" fillId="6" borderId="3" xfId="0" applyFont="1" applyFill="1" applyBorder="1" applyAlignment="1">
      <alignment horizontal="center" vertical="center" wrapText="1"/>
    </xf>
    <xf numFmtId="0" fontId="4" fillId="6" borderId="4" xfId="0" applyFont="1" applyFill="1" applyBorder="1" applyAlignment="1">
      <alignment horizontal="center" vertical="center" wrapText="1"/>
    </xf>
    <xf numFmtId="0" fontId="6" fillId="0" borderId="2" xfId="0" applyFont="1" applyBorder="1" applyAlignment="1">
      <alignment horizontal="center" vertical="center" wrapText="1"/>
    </xf>
    <xf numFmtId="0" fontId="6" fillId="0" borderId="4" xfId="0" applyFont="1" applyBorder="1" applyAlignment="1">
      <alignment horizontal="center" vertical="center" wrapText="1"/>
    </xf>
    <xf numFmtId="0" fontId="3" fillId="0" borderId="0" xfId="0" applyFont="1" applyAlignment="1">
      <alignment horizontal="center" wrapText="1"/>
    </xf>
    <xf numFmtId="0" fontId="2" fillId="12" borderId="2" xfId="0" applyFont="1" applyFill="1" applyBorder="1" applyAlignment="1">
      <alignment horizontal="left" vertical="center" wrapText="1"/>
    </xf>
    <xf numFmtId="0" fontId="2" fillId="12" borderId="3" xfId="0" applyFont="1" applyFill="1" applyBorder="1" applyAlignment="1">
      <alignment horizontal="left" vertical="center" wrapText="1"/>
    </xf>
    <xf numFmtId="0" fontId="2" fillId="12" borderId="4" xfId="0" applyFont="1" applyFill="1" applyBorder="1" applyAlignment="1">
      <alignment horizontal="left" vertical="center" wrapText="1"/>
    </xf>
    <xf numFmtId="0" fontId="12" fillId="12" borderId="5"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0" fontId="7" fillId="10" borderId="2" xfId="0" applyFont="1" applyFill="1" applyBorder="1" applyAlignment="1">
      <alignment horizontal="center" vertical="center" wrapText="1"/>
    </xf>
    <xf numFmtId="0" fontId="7" fillId="10" borderId="3" xfId="0" applyFont="1" applyFill="1" applyBorder="1" applyAlignment="1">
      <alignment horizontal="center" vertical="center" wrapText="1"/>
    </xf>
    <xf numFmtId="0" fontId="7" fillId="10" borderId="4" xfId="0" applyFont="1" applyFill="1" applyBorder="1" applyAlignment="1">
      <alignment horizontal="center" vertical="center" wrapText="1"/>
    </xf>
    <xf numFmtId="9" fontId="7" fillId="0" borderId="6" xfId="1" applyFont="1" applyBorder="1" applyAlignment="1">
      <alignment horizontal="center" vertical="center" wrapText="1"/>
    </xf>
    <xf numFmtId="9" fontId="7" fillId="0" borderId="7" xfId="1" applyFont="1" applyBorder="1" applyAlignment="1">
      <alignment horizontal="center" vertical="center" wrapText="1"/>
    </xf>
    <xf numFmtId="9" fontId="7" fillId="0" borderId="9" xfId="1" applyFont="1" applyBorder="1" applyAlignment="1">
      <alignment horizontal="center" vertical="center" wrapText="1"/>
    </xf>
    <xf numFmtId="9" fontId="7" fillId="0" borderId="10" xfId="1" applyFont="1" applyBorder="1" applyAlignment="1">
      <alignment horizontal="center" vertical="center" wrapText="1"/>
    </xf>
    <xf numFmtId="0" fontId="7" fillId="6" borderId="1" xfId="0" applyFont="1" applyFill="1" applyBorder="1" applyAlignment="1">
      <alignment horizontal="center" vertical="center" wrapText="1"/>
    </xf>
    <xf numFmtId="0" fontId="6" fillId="6" borderId="2" xfId="0" applyFont="1" applyFill="1" applyBorder="1" applyAlignment="1">
      <alignment horizontal="left" vertical="center" wrapText="1"/>
    </xf>
    <xf numFmtId="0" fontId="6" fillId="6" borderId="3" xfId="0" applyFont="1" applyFill="1" applyBorder="1" applyAlignment="1">
      <alignment horizontal="left" vertical="center" wrapText="1"/>
    </xf>
    <xf numFmtId="0" fontId="6" fillId="6" borderId="4" xfId="0" applyFont="1" applyFill="1" applyBorder="1" applyAlignment="1">
      <alignment horizontal="left" vertical="center" wrapText="1"/>
    </xf>
    <xf numFmtId="40" fontId="7" fillId="5" borderId="2" xfId="0" applyNumberFormat="1" applyFont="1" applyFill="1" applyBorder="1" applyAlignment="1">
      <alignment horizontal="center" vertical="center"/>
    </xf>
    <xf numFmtId="40" fontId="7" fillId="5" borderId="3" xfId="0" applyNumberFormat="1" applyFont="1" applyFill="1" applyBorder="1" applyAlignment="1">
      <alignment horizontal="center" vertical="center"/>
    </xf>
    <xf numFmtId="40" fontId="7" fillId="5" borderId="4" xfId="0" applyNumberFormat="1" applyFont="1" applyFill="1" applyBorder="1" applyAlignment="1">
      <alignment horizontal="center" vertical="center"/>
    </xf>
    <xf numFmtId="0" fontId="8" fillId="0" borderId="1" xfId="0" applyFont="1" applyBorder="1" applyAlignment="1">
      <alignment horizontal="center" vertical="center" wrapText="1"/>
    </xf>
    <xf numFmtId="0" fontId="34" fillId="0" borderId="1" xfId="0" applyFont="1" applyBorder="1" applyAlignment="1">
      <alignment horizontal="center" vertical="center" wrapText="1"/>
    </xf>
    <xf numFmtId="0" fontId="4" fillId="6" borderId="52" xfId="0" applyFont="1" applyFill="1" applyBorder="1" applyAlignment="1">
      <alignment horizontal="center" vertical="center" wrapText="1"/>
    </xf>
    <xf numFmtId="0" fontId="4" fillId="6" borderId="49" xfId="0" applyFont="1" applyFill="1" applyBorder="1" applyAlignment="1">
      <alignment horizontal="center" vertical="center"/>
    </xf>
    <xf numFmtId="0" fontId="4" fillId="6" borderId="53" xfId="0" applyFont="1" applyFill="1" applyBorder="1" applyAlignment="1">
      <alignment horizontal="center" vertical="center"/>
    </xf>
    <xf numFmtId="0" fontId="4" fillId="6" borderId="3" xfId="0" applyFont="1" applyFill="1" applyBorder="1" applyAlignment="1">
      <alignment horizontal="center" vertical="center"/>
    </xf>
    <xf numFmtId="0" fontId="4" fillId="6" borderId="4" xfId="0" applyFont="1" applyFill="1" applyBorder="1" applyAlignment="1">
      <alignment horizontal="center" vertical="center"/>
    </xf>
    <xf numFmtId="0" fontId="41" fillId="0" borderId="5" xfId="0" applyFont="1" applyBorder="1" applyAlignment="1">
      <alignment horizontal="center" vertical="center" wrapText="1"/>
    </xf>
    <xf numFmtId="0" fontId="41" fillId="0" borderId="7" xfId="0" applyFont="1" applyBorder="1" applyAlignment="1">
      <alignment horizontal="center" vertical="center" wrapText="1"/>
    </xf>
    <xf numFmtId="0" fontId="41" fillId="0" borderId="13" xfId="0" applyFont="1" applyBorder="1" applyAlignment="1">
      <alignment horizontal="center" vertical="center" wrapText="1"/>
    </xf>
    <xf numFmtId="0" fontId="41" fillId="0" borderId="14" xfId="0" applyFont="1" applyBorder="1" applyAlignment="1">
      <alignment horizontal="center" vertical="center" wrapText="1"/>
    </xf>
    <xf numFmtId="0" fontId="25" fillId="0" borderId="0" xfId="0" applyFont="1" applyAlignment="1">
      <alignment horizontal="left" vertical="top" wrapText="1"/>
    </xf>
    <xf numFmtId="0" fontId="13" fillId="6" borderId="2" xfId="0" applyFont="1" applyFill="1" applyBorder="1" applyAlignment="1">
      <alignment horizontal="center" vertical="center" wrapText="1"/>
    </xf>
    <xf numFmtId="0" fontId="13" fillId="6" borderId="3" xfId="0" applyFont="1" applyFill="1" applyBorder="1" applyAlignment="1">
      <alignment horizontal="center" vertical="center" wrapText="1"/>
    </xf>
    <xf numFmtId="0" fontId="13" fillId="6" borderId="4" xfId="0" applyFont="1" applyFill="1" applyBorder="1" applyAlignment="1">
      <alignment horizontal="center" vertical="center" wrapText="1"/>
    </xf>
    <xf numFmtId="0" fontId="4" fillId="6" borderId="13" xfId="0" applyFont="1" applyFill="1" applyBorder="1" applyAlignment="1">
      <alignment horizontal="center" vertical="center" wrapText="1"/>
    </xf>
    <xf numFmtId="0" fontId="4" fillId="6" borderId="0" xfId="0" applyFont="1" applyFill="1" applyAlignment="1">
      <alignment horizontal="center" vertical="center" wrapText="1"/>
    </xf>
    <xf numFmtId="0" fontId="4" fillId="6" borderId="30" xfId="0" applyFont="1" applyFill="1" applyBorder="1" applyAlignment="1">
      <alignment horizontal="center" vertical="center" wrapText="1"/>
    </xf>
    <xf numFmtId="0" fontId="4" fillId="6" borderId="23" xfId="0" applyFont="1" applyFill="1" applyBorder="1" applyAlignment="1">
      <alignment horizontal="center" vertical="center" wrapText="1"/>
    </xf>
    <xf numFmtId="0" fontId="4" fillId="6" borderId="54" xfId="0" applyFont="1" applyFill="1" applyBorder="1" applyAlignment="1">
      <alignment horizontal="center" vertical="center" wrapText="1"/>
    </xf>
    <xf numFmtId="0" fontId="7" fillId="6" borderId="2" xfId="0" applyFont="1" applyFill="1" applyBorder="1" applyAlignment="1">
      <alignment horizontal="center" vertical="center" wrapText="1"/>
    </xf>
    <xf numFmtId="0" fontId="7" fillId="6" borderId="3" xfId="0" applyFont="1" applyFill="1" applyBorder="1" applyAlignment="1">
      <alignment horizontal="center" vertical="center"/>
    </xf>
    <xf numFmtId="0" fontId="7" fillId="6" borderId="4" xfId="0" applyFont="1" applyFill="1" applyBorder="1" applyAlignment="1">
      <alignment horizontal="center" vertical="center"/>
    </xf>
    <xf numFmtId="0" fontId="7" fillId="3" borderId="2" xfId="0" applyFont="1" applyFill="1" applyBorder="1" applyAlignment="1">
      <alignment horizontal="left" vertical="center" wrapText="1"/>
    </xf>
    <xf numFmtId="0" fontId="7" fillId="3" borderId="3" xfId="0" applyFont="1" applyFill="1" applyBorder="1" applyAlignment="1">
      <alignment horizontal="left" vertical="center" wrapText="1"/>
    </xf>
    <xf numFmtId="0" fontId="7" fillId="3" borderId="4" xfId="0" applyFont="1" applyFill="1" applyBorder="1" applyAlignment="1">
      <alignment horizontal="left" vertical="center" wrapText="1"/>
    </xf>
    <xf numFmtId="0" fontId="6" fillId="0" borderId="1" xfId="0" applyFont="1" applyFill="1" applyBorder="1" applyAlignment="1">
      <alignment horizontal="left" vertical="center" wrapText="1"/>
    </xf>
    <xf numFmtId="0" fontId="6" fillId="0" borderId="0" xfId="0" applyFont="1" applyBorder="1" applyAlignment="1">
      <alignment horizontal="center" vertical="center" wrapText="1"/>
    </xf>
    <xf numFmtId="0" fontId="6" fillId="0" borderId="3" xfId="0" applyFont="1" applyBorder="1" applyAlignment="1">
      <alignment horizontal="center" vertical="center" wrapText="1"/>
    </xf>
    <xf numFmtId="0" fontId="6" fillId="6" borderId="2" xfId="0" applyFont="1" applyFill="1" applyBorder="1" applyAlignment="1">
      <alignment horizontal="center"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4" fillId="6" borderId="1" xfId="0" applyFont="1" applyFill="1" applyBorder="1" applyAlignment="1">
      <alignment horizontal="center" vertical="center" wrapText="1"/>
    </xf>
    <xf numFmtId="0" fontId="6" fillId="0" borderId="5" xfId="0" applyFont="1" applyBorder="1" applyAlignment="1">
      <alignment horizontal="left" vertical="center" wrapText="1"/>
    </xf>
    <xf numFmtId="0" fontId="6" fillId="0" borderId="6" xfId="0" applyFont="1" applyBorder="1" applyAlignment="1">
      <alignment horizontal="left" vertical="center" wrapText="1"/>
    </xf>
    <xf numFmtId="0" fontId="6" fillId="0" borderId="7" xfId="0" applyFont="1" applyBorder="1" applyAlignment="1">
      <alignment horizontal="left"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7" fillId="7" borderId="3" xfId="0" applyFont="1" applyFill="1" applyBorder="1" applyAlignment="1">
      <alignment horizontal="center" vertical="center" wrapText="1"/>
    </xf>
    <xf numFmtId="0" fontId="7" fillId="7" borderId="4" xfId="0" applyFont="1" applyFill="1" applyBorder="1" applyAlignment="1">
      <alignment horizontal="center" vertical="center" wrapText="1"/>
    </xf>
    <xf numFmtId="0" fontId="7" fillId="7" borderId="2" xfId="0" applyFont="1" applyFill="1" applyBorder="1" applyAlignment="1">
      <alignment horizontal="center" vertical="center" wrapText="1"/>
    </xf>
    <xf numFmtId="49" fontId="6" fillId="0" borderId="2" xfId="0" applyNumberFormat="1" applyFont="1" applyBorder="1" applyAlignment="1">
      <alignment vertical="center" wrapText="1"/>
    </xf>
    <xf numFmtId="49" fontId="8" fillId="0" borderId="3" xfId="0" applyNumberFormat="1" applyFont="1" applyBorder="1" applyAlignment="1">
      <alignment vertical="center" wrapText="1"/>
    </xf>
    <xf numFmtId="49" fontId="8" fillId="0" borderId="4" xfId="0" applyNumberFormat="1" applyFont="1" applyBorder="1" applyAlignment="1">
      <alignment vertical="center" wrapText="1"/>
    </xf>
    <xf numFmtId="0" fontId="7" fillId="13" borderId="2" xfId="0" applyFont="1" applyFill="1" applyBorder="1" applyAlignment="1">
      <alignment horizontal="center" vertical="center" wrapText="1"/>
    </xf>
    <xf numFmtId="0" fontId="7" fillId="13" borderId="3" xfId="0" applyFont="1" applyFill="1" applyBorder="1" applyAlignment="1">
      <alignment horizontal="center" vertical="center" wrapText="1"/>
    </xf>
    <xf numFmtId="0" fontId="7" fillId="13" borderId="4" xfId="0" applyFont="1" applyFill="1" applyBorder="1" applyAlignment="1">
      <alignment horizontal="center" vertical="center" wrapText="1"/>
    </xf>
    <xf numFmtId="49" fontId="6" fillId="0" borderId="2" xfId="0" applyNumberFormat="1" applyFont="1" applyFill="1" applyBorder="1" applyAlignment="1">
      <alignment horizontal="center" vertical="center" wrapText="1"/>
    </xf>
    <xf numFmtId="49" fontId="6" fillId="0" borderId="3" xfId="0" applyNumberFormat="1" applyFont="1" applyFill="1" applyBorder="1" applyAlignment="1">
      <alignment horizontal="center" vertical="center" wrapText="1"/>
    </xf>
    <xf numFmtId="49" fontId="6" fillId="0" borderId="4" xfId="0" applyNumberFormat="1" applyFont="1" applyFill="1" applyBorder="1" applyAlignment="1">
      <alignment horizontal="center" vertical="center" wrapText="1"/>
    </xf>
    <xf numFmtId="49" fontId="8" fillId="0" borderId="1" xfId="0" applyNumberFormat="1" applyFont="1" applyBorder="1" applyAlignment="1">
      <alignment horizontal="left" vertical="center" wrapText="1"/>
    </xf>
    <xf numFmtId="49" fontId="13" fillId="0" borderId="1" xfId="0" applyNumberFormat="1" applyFont="1" applyBorder="1" applyAlignment="1">
      <alignment horizontal="left" vertical="center" wrapText="1"/>
    </xf>
    <xf numFmtId="0" fontId="5" fillId="0" borderId="1" xfId="0" applyFont="1" applyFill="1" applyBorder="1" applyAlignment="1">
      <alignment horizontal="left" vertical="center" wrapText="1"/>
    </xf>
    <xf numFmtId="49" fontId="6" fillId="0" borderId="1" xfId="0" applyNumberFormat="1" applyFont="1" applyBorder="1" applyAlignment="1">
      <alignment horizontal="left" vertical="center" wrapText="1"/>
    </xf>
    <xf numFmtId="0" fontId="7" fillId="19" borderId="2" xfId="0" applyFont="1" applyFill="1" applyBorder="1" applyAlignment="1">
      <alignment horizontal="left" vertical="center" wrapText="1"/>
    </xf>
    <xf numFmtId="0" fontId="7" fillId="19" borderId="3" xfId="0" applyFont="1" applyFill="1" applyBorder="1" applyAlignment="1">
      <alignment horizontal="left" vertical="center" wrapText="1"/>
    </xf>
    <xf numFmtId="0" fontId="7" fillId="19" borderId="4" xfId="0" applyFont="1" applyFill="1" applyBorder="1" applyAlignment="1">
      <alignment horizontal="left" vertical="center" wrapText="1"/>
    </xf>
    <xf numFmtId="49" fontId="6" fillId="0" borderId="2" xfId="0" applyNumberFormat="1" applyFont="1" applyBorder="1" applyAlignment="1">
      <alignment horizontal="left" vertical="center" wrapText="1"/>
    </xf>
    <xf numFmtId="49" fontId="6" fillId="0" borderId="3" xfId="0" applyNumberFormat="1" applyFont="1" applyBorder="1" applyAlignment="1">
      <alignment horizontal="left" vertical="center" wrapText="1"/>
    </xf>
    <xf numFmtId="49" fontId="6" fillId="0" borderId="4" xfId="0" applyNumberFormat="1" applyFont="1" applyBorder="1" applyAlignment="1">
      <alignment horizontal="left" vertical="center" wrapText="1"/>
    </xf>
    <xf numFmtId="0" fontId="7" fillId="3" borderId="6" xfId="0" applyFont="1" applyFill="1" applyBorder="1" applyAlignment="1">
      <alignment horizontal="center" vertical="center" wrapText="1"/>
    </xf>
    <xf numFmtId="0" fontId="41" fillId="0" borderId="8" xfId="0" applyFont="1" applyBorder="1" applyAlignment="1">
      <alignment horizontal="center" vertical="center" wrapText="1"/>
    </xf>
    <xf numFmtId="0" fontId="41" fillId="0" borderId="10" xfId="0" applyFont="1" applyBorder="1" applyAlignment="1">
      <alignment horizontal="center"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3"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9" fontId="6" fillId="0" borderId="1" xfId="1" applyNumberFormat="1" applyFont="1" applyBorder="1" applyAlignment="1">
      <alignment horizontal="center" vertical="center" wrapText="1"/>
    </xf>
    <xf numFmtId="2" fontId="7" fillId="4" borderId="1" xfId="0" applyNumberFormat="1" applyFont="1" applyFill="1" applyBorder="1" applyAlignment="1">
      <alignment horizontal="center" vertical="center" wrapText="1"/>
    </xf>
    <xf numFmtId="2" fontId="4" fillId="0" borderId="2" xfId="1" applyNumberFormat="1" applyFont="1" applyBorder="1" applyAlignment="1">
      <alignment horizontal="center" vertical="center" wrapText="1"/>
    </xf>
    <xf numFmtId="2" fontId="4" fillId="0" borderId="4" xfId="1" applyNumberFormat="1" applyFont="1" applyBorder="1" applyAlignment="1">
      <alignment horizontal="center" vertical="center" wrapText="1"/>
    </xf>
    <xf numFmtId="0" fontId="7" fillId="0" borderId="1" xfId="0" applyFont="1" applyBorder="1" applyAlignment="1">
      <alignment horizontal="center" vertical="center"/>
    </xf>
    <xf numFmtId="9" fontId="7" fillId="0" borderId="1" xfId="0" applyNumberFormat="1" applyFont="1" applyBorder="1" applyAlignment="1">
      <alignment horizontal="center" vertical="center" wrapText="1"/>
    </xf>
    <xf numFmtId="10" fontId="6" fillId="22" borderId="2" xfId="1" applyNumberFormat="1" applyFont="1" applyFill="1" applyBorder="1" applyAlignment="1">
      <alignment horizontal="center" vertical="center" wrapText="1"/>
    </xf>
    <xf numFmtId="10" fontId="6" fillId="22" borderId="3" xfId="1" applyNumberFormat="1" applyFont="1" applyFill="1" applyBorder="1" applyAlignment="1">
      <alignment horizontal="center" vertical="center" wrapText="1"/>
    </xf>
    <xf numFmtId="10" fontId="6" fillId="22" borderId="4" xfId="1" applyNumberFormat="1" applyFont="1" applyFill="1" applyBorder="1" applyAlignment="1">
      <alignment horizontal="center" vertical="center" wrapText="1"/>
    </xf>
    <xf numFmtId="10" fontId="6" fillId="22" borderId="1" xfId="1" applyNumberFormat="1" applyFont="1" applyFill="1" applyBorder="1" applyAlignment="1">
      <alignment horizontal="center" vertical="center" wrapText="1"/>
    </xf>
    <xf numFmtId="38" fontId="4" fillId="6" borderId="1" xfId="0" applyNumberFormat="1" applyFont="1" applyFill="1" applyBorder="1" applyAlignment="1">
      <alignment horizontal="left" vertical="center" wrapText="1"/>
    </xf>
    <xf numFmtId="1" fontId="5" fillId="0" borderId="2" xfId="1" applyNumberFormat="1" applyFont="1" applyBorder="1" applyAlignment="1">
      <alignment horizontal="center" vertical="center" wrapText="1"/>
    </xf>
    <xf numFmtId="1" fontId="5" fillId="0" borderId="4" xfId="1" applyNumberFormat="1" applyFont="1" applyBorder="1" applyAlignment="1">
      <alignment horizontal="center" vertical="center" wrapText="1"/>
    </xf>
    <xf numFmtId="9" fontId="6" fillId="0" borderId="2" xfId="1" applyNumberFormat="1" applyFont="1" applyBorder="1" applyAlignment="1">
      <alignment horizontal="center" vertical="center" wrapText="1"/>
    </xf>
    <xf numFmtId="9" fontId="6" fillId="0" borderId="3" xfId="1" applyNumberFormat="1" applyFont="1" applyBorder="1" applyAlignment="1">
      <alignment horizontal="center" vertical="center" wrapText="1"/>
    </xf>
    <xf numFmtId="9" fontId="6" fillId="0" borderId="4" xfId="1" applyNumberFormat="1" applyFont="1" applyBorder="1" applyAlignment="1">
      <alignment horizontal="center" vertical="center" wrapText="1"/>
    </xf>
    <xf numFmtId="0" fontId="7" fillId="0" borderId="1" xfId="2" applyFont="1" applyBorder="1" applyAlignment="1">
      <alignment horizontal="center" vertical="center" wrapText="1"/>
    </xf>
    <xf numFmtId="0" fontId="7" fillId="11" borderId="2" xfId="0" applyFont="1" applyFill="1" applyBorder="1" applyAlignment="1">
      <alignment vertical="center" wrapText="1"/>
    </xf>
    <xf numFmtId="0" fontId="7" fillId="11" borderId="3" xfId="0" applyFont="1" applyFill="1" applyBorder="1" applyAlignment="1">
      <alignment vertical="center" wrapText="1"/>
    </xf>
    <xf numFmtId="0" fontId="7" fillId="11" borderId="4" xfId="0" applyFont="1" applyFill="1" applyBorder="1" applyAlignment="1">
      <alignment vertical="center" wrapText="1"/>
    </xf>
    <xf numFmtId="0" fontId="5" fillId="12" borderId="3" xfId="0" applyFont="1" applyFill="1" applyBorder="1" applyAlignment="1">
      <alignment horizontal="left" vertical="center" wrapText="1"/>
    </xf>
    <xf numFmtId="0" fontId="5" fillId="12" borderId="4" xfId="0" applyFont="1" applyFill="1" applyBorder="1" applyAlignment="1">
      <alignment horizontal="left" vertical="center" wrapText="1"/>
    </xf>
    <xf numFmtId="9" fontId="7" fillId="0" borderId="1" xfId="1" applyFont="1" applyBorder="1" applyAlignment="1">
      <alignment horizontal="center" vertical="center" wrapText="1"/>
    </xf>
    <xf numFmtId="9" fontId="7" fillId="0" borderId="3" xfId="1" applyNumberFormat="1" applyFont="1" applyBorder="1" applyAlignment="1">
      <alignment horizontal="center" vertical="center" wrapText="1"/>
    </xf>
    <xf numFmtId="0" fontId="5" fillId="10" borderId="2" xfId="0" applyFont="1" applyFill="1" applyBorder="1" applyAlignment="1">
      <alignment horizontal="left" vertical="center" wrapText="1"/>
    </xf>
    <xf numFmtId="0" fontId="5" fillId="10" borderId="3" xfId="0" applyFont="1" applyFill="1" applyBorder="1" applyAlignment="1">
      <alignment horizontal="left" vertical="center" wrapText="1"/>
    </xf>
    <xf numFmtId="0" fontId="5" fillId="10" borderId="4" xfId="0" applyFont="1" applyFill="1" applyBorder="1" applyAlignment="1">
      <alignment horizontal="left" vertical="center" wrapText="1"/>
    </xf>
    <xf numFmtId="0" fontId="6" fillId="6" borderId="1" xfId="0" applyFont="1" applyFill="1" applyBorder="1" applyAlignment="1">
      <alignment horizontal="left" vertical="center" wrapText="1"/>
    </xf>
    <xf numFmtId="10" fontId="6" fillId="0" borderId="2" xfId="1" applyNumberFormat="1" applyFont="1" applyBorder="1" applyAlignment="1">
      <alignment horizontal="center" vertical="center" wrapText="1"/>
    </xf>
    <xf numFmtId="10" fontId="6" fillId="0" borderId="4" xfId="1" applyNumberFormat="1" applyFont="1" applyBorder="1" applyAlignment="1">
      <alignment horizontal="center" vertical="center" wrapText="1"/>
    </xf>
    <xf numFmtId="0" fontId="7" fillId="0" borderId="1" xfId="0" applyFont="1" applyBorder="1" applyAlignment="1">
      <alignment horizontal="left" vertical="center" wrapText="1"/>
    </xf>
    <xf numFmtId="0" fontId="7" fillId="0" borderId="3" xfId="0" applyFont="1" applyBorder="1" applyAlignment="1">
      <alignment horizontal="center" vertical="center"/>
    </xf>
    <xf numFmtId="167" fontId="6" fillId="0" borderId="2" xfId="1" applyNumberFormat="1" applyFont="1" applyBorder="1" applyAlignment="1">
      <alignment horizontal="center" vertical="center" wrapText="1"/>
    </xf>
    <xf numFmtId="167" fontId="6" fillId="0" borderId="4" xfId="1" applyNumberFormat="1" applyFont="1" applyBorder="1" applyAlignment="1">
      <alignment horizontal="center" vertical="center" wrapText="1"/>
    </xf>
    <xf numFmtId="0" fontId="13" fillId="0" borderId="2" xfId="0" applyFont="1" applyBorder="1" applyAlignment="1">
      <alignment horizontal="center" vertical="center" wrapText="1"/>
    </xf>
    <xf numFmtId="0" fontId="13" fillId="0" borderId="3" xfId="0" applyFont="1" applyBorder="1" applyAlignment="1">
      <alignment horizontal="center" vertical="center" wrapText="1"/>
    </xf>
    <xf numFmtId="0" fontId="13" fillId="0" borderId="4" xfId="0" applyFont="1" applyBorder="1" applyAlignment="1">
      <alignment horizontal="center" vertical="center" wrapText="1"/>
    </xf>
    <xf numFmtId="0" fontId="7" fillId="4" borderId="1" xfId="0" applyFont="1" applyFill="1" applyBorder="1" applyAlignment="1">
      <alignment horizontal="center" vertical="center" wrapText="1"/>
    </xf>
    <xf numFmtId="9" fontId="5" fillId="0" borderId="1" xfId="1" applyFont="1" applyBorder="1" applyAlignment="1">
      <alignment horizontal="center" vertical="center" wrapText="1"/>
    </xf>
    <xf numFmtId="0" fontId="5" fillId="0" borderId="2" xfId="0" applyFont="1" applyBorder="1" applyAlignment="1">
      <alignment horizontal="center" wrapText="1"/>
    </xf>
    <xf numFmtId="0" fontId="5" fillId="0" borderId="3" xfId="0" applyFont="1" applyBorder="1" applyAlignment="1">
      <alignment horizontal="center" wrapText="1"/>
    </xf>
    <xf numFmtId="0" fontId="5" fillId="0" borderId="4" xfId="0" applyFont="1" applyBorder="1" applyAlignment="1">
      <alignment horizontal="center" wrapText="1"/>
    </xf>
    <xf numFmtId="2" fontId="6" fillId="0" borderId="2" xfId="1" applyNumberFormat="1" applyFont="1" applyBorder="1" applyAlignment="1">
      <alignment horizontal="center" vertical="center" wrapText="1"/>
    </xf>
    <xf numFmtId="2" fontId="6" fillId="0" borderId="4" xfId="1" applyNumberFormat="1" applyFont="1" applyBorder="1" applyAlignment="1">
      <alignment horizontal="center" vertical="center" wrapText="1"/>
    </xf>
    <xf numFmtId="38" fontId="6" fillId="0" borderId="8" xfId="0" applyNumberFormat="1" applyFont="1" applyBorder="1" applyAlignment="1">
      <alignment horizontal="center" vertical="center" wrapText="1"/>
    </xf>
    <xf numFmtId="38" fontId="6" fillId="0" borderId="9" xfId="0" applyNumberFormat="1" applyFont="1" applyBorder="1" applyAlignment="1">
      <alignment horizontal="center" vertical="center" wrapText="1"/>
    </xf>
    <xf numFmtId="38" fontId="6" fillId="0" borderId="10" xfId="0" applyNumberFormat="1" applyFont="1" applyBorder="1" applyAlignment="1">
      <alignment horizontal="center" vertical="center" wrapText="1"/>
    </xf>
    <xf numFmtId="49" fontId="4" fillId="0" borderId="1" xfId="0" applyNumberFormat="1" applyFont="1" applyFill="1" applyBorder="1" applyAlignment="1">
      <alignment horizontal="left" vertical="center" wrapText="1"/>
    </xf>
    <xf numFmtId="0" fontId="7" fillId="9" borderId="2" xfId="0" applyFont="1" applyFill="1" applyBorder="1" applyAlignment="1">
      <alignment horizontal="center" vertical="center" wrapText="1"/>
    </xf>
    <xf numFmtId="0" fontId="7" fillId="9" borderId="3" xfId="0" applyFont="1" applyFill="1" applyBorder="1" applyAlignment="1">
      <alignment horizontal="center" vertical="center" wrapText="1"/>
    </xf>
    <xf numFmtId="0" fontId="7" fillId="9" borderId="4" xfId="0" applyFont="1" applyFill="1" applyBorder="1" applyAlignment="1">
      <alignment horizontal="center" vertical="center" wrapText="1"/>
    </xf>
    <xf numFmtId="0" fontId="7" fillId="7" borderId="1" xfId="0" applyFont="1" applyFill="1" applyBorder="1" applyAlignment="1">
      <alignment horizontal="left" vertical="center" wrapText="1"/>
    </xf>
    <xf numFmtId="38" fontId="4" fillId="6" borderId="1" xfId="0" applyNumberFormat="1" applyFont="1" applyFill="1" applyBorder="1" applyAlignment="1">
      <alignment horizontal="justify" vertical="center" wrapText="1"/>
    </xf>
    <xf numFmtId="0" fontId="4" fillId="0" borderId="5" xfId="0" applyFont="1" applyBorder="1" applyAlignment="1">
      <alignment horizontal="center" wrapText="1"/>
    </xf>
    <xf numFmtId="0" fontId="4" fillId="0" borderId="6" xfId="0" applyFont="1" applyBorder="1" applyAlignment="1">
      <alignment horizontal="center" wrapText="1"/>
    </xf>
    <xf numFmtId="0" fontId="4" fillId="0" borderId="7" xfId="0" applyFont="1" applyBorder="1" applyAlignment="1">
      <alignment horizontal="center" wrapText="1"/>
    </xf>
    <xf numFmtId="0" fontId="4" fillId="0" borderId="13" xfId="0" applyFont="1" applyBorder="1" applyAlignment="1">
      <alignment horizontal="center" wrapText="1"/>
    </xf>
    <xf numFmtId="0" fontId="4" fillId="0" borderId="0" xfId="0" applyFont="1" applyAlignment="1">
      <alignment horizontal="center" wrapText="1"/>
    </xf>
    <xf numFmtId="0" fontId="4" fillId="0" borderId="14" xfId="0" applyFont="1" applyBorder="1" applyAlignment="1">
      <alignment horizontal="center" wrapText="1"/>
    </xf>
    <xf numFmtId="0" fontId="4" fillId="0" borderId="8" xfId="0" applyFont="1" applyBorder="1" applyAlignment="1">
      <alignment horizontal="center" wrapText="1"/>
    </xf>
    <xf numFmtId="0" fontId="4" fillId="0" borderId="9" xfId="0" applyFont="1" applyBorder="1" applyAlignment="1">
      <alignment horizontal="center" wrapText="1"/>
    </xf>
    <xf numFmtId="0" fontId="4" fillId="0" borderId="10" xfId="0" applyFont="1" applyBorder="1" applyAlignment="1">
      <alignment horizontal="center" wrapText="1"/>
    </xf>
    <xf numFmtId="49" fontId="4" fillId="0" borderId="2" xfId="0" applyNumberFormat="1" applyFont="1" applyBorder="1" applyAlignment="1">
      <alignment horizontal="left" vertical="center" wrapText="1"/>
    </xf>
    <xf numFmtId="49" fontId="4" fillId="0" borderId="4" xfId="0" applyNumberFormat="1" applyFont="1" applyBorder="1" applyAlignment="1">
      <alignment horizontal="left" vertical="center" wrapText="1"/>
    </xf>
    <xf numFmtId="2" fontId="4" fillId="0" borderId="5" xfId="1" applyNumberFormat="1" applyFont="1" applyBorder="1" applyAlignment="1">
      <alignment horizontal="center" vertical="center" wrapText="1"/>
    </xf>
    <xf numFmtId="2" fontId="4" fillId="0" borderId="7" xfId="1" applyNumberFormat="1" applyFont="1" applyBorder="1" applyAlignment="1">
      <alignment horizontal="center" vertical="center" wrapText="1"/>
    </xf>
    <xf numFmtId="2" fontId="4" fillId="0" borderId="13" xfId="1" applyNumberFormat="1" applyFont="1" applyBorder="1" applyAlignment="1">
      <alignment horizontal="center" vertical="center" wrapText="1"/>
    </xf>
    <xf numFmtId="2" fontId="4" fillId="0" borderId="14" xfId="1" applyNumberFormat="1" applyFont="1" applyBorder="1" applyAlignment="1">
      <alignment horizontal="center" vertical="center" wrapText="1"/>
    </xf>
    <xf numFmtId="2" fontId="4" fillId="0" borderId="8" xfId="1" applyNumberFormat="1" applyFont="1" applyBorder="1" applyAlignment="1">
      <alignment horizontal="center" vertical="center" wrapText="1"/>
    </xf>
    <xf numFmtId="2" fontId="4" fillId="0" borderId="10" xfId="1" applyNumberFormat="1" applyFont="1" applyBorder="1" applyAlignment="1">
      <alignment horizontal="center" vertical="center" wrapText="1"/>
    </xf>
    <xf numFmtId="1" fontId="4" fillId="0" borderId="11" xfId="0" applyNumberFormat="1" applyFont="1" applyBorder="1" applyAlignment="1">
      <alignment horizontal="center" vertical="center"/>
    </xf>
    <xf numFmtId="1" fontId="4" fillId="0" borderId="46" xfId="0" applyNumberFormat="1" applyFont="1" applyBorder="1" applyAlignment="1">
      <alignment horizontal="center" vertical="center"/>
    </xf>
    <xf numFmtId="1" fontId="4" fillId="0" borderId="12" xfId="0" applyNumberFormat="1" applyFont="1" applyBorder="1" applyAlignment="1">
      <alignment horizontal="center" vertical="center"/>
    </xf>
    <xf numFmtId="0" fontId="40" fillId="0" borderId="32" xfId="15" applyFont="1" applyBorder="1" applyAlignment="1">
      <alignment horizontal="left" vertical="center" wrapText="1"/>
    </xf>
    <xf numFmtId="0" fontId="40" fillId="0" borderId="38" xfId="15" applyFont="1" applyBorder="1" applyAlignment="1">
      <alignment horizontal="left" vertical="center" wrapText="1"/>
    </xf>
    <xf numFmtId="0" fontId="40" fillId="0" borderId="44" xfId="15" applyFont="1" applyBorder="1" applyAlignment="1">
      <alignment horizontal="left" vertical="center" wrapText="1"/>
    </xf>
    <xf numFmtId="0" fontId="18" fillId="0" borderId="2" xfId="0" applyFont="1" applyBorder="1" applyAlignment="1">
      <alignment horizontal="center" vertical="center"/>
    </xf>
    <xf numFmtId="0" fontId="18" fillId="0" borderId="25" xfId="0" applyFont="1" applyBorder="1" applyAlignment="1">
      <alignment horizontal="center" vertical="center"/>
    </xf>
    <xf numFmtId="0" fontId="40" fillId="0" borderId="43" xfId="15" applyFont="1" applyBorder="1" applyAlignment="1">
      <alignment horizontal="left" vertical="center" wrapText="1"/>
    </xf>
    <xf numFmtId="0" fontId="36" fillId="0" borderId="2" xfId="15" applyFont="1" applyBorder="1" applyAlignment="1">
      <alignment horizontal="center" vertical="center"/>
    </xf>
    <xf numFmtId="0" fontId="36" fillId="0" borderId="25" xfId="15" applyFont="1" applyBorder="1" applyAlignment="1">
      <alignment horizontal="center" vertical="center"/>
    </xf>
    <xf numFmtId="0" fontId="36" fillId="0" borderId="33" xfId="15" applyFont="1" applyBorder="1" applyAlignment="1">
      <alignment horizontal="center" vertical="center"/>
    </xf>
    <xf numFmtId="0" fontId="36" fillId="0" borderId="45" xfId="15" applyFont="1" applyBorder="1" applyAlignment="1">
      <alignment horizontal="center" vertical="center"/>
    </xf>
    <xf numFmtId="0" fontId="18" fillId="0" borderId="0" xfId="0" applyFont="1" applyAlignment="1">
      <alignment horizontal="left" vertical="top"/>
    </xf>
    <xf numFmtId="0" fontId="18" fillId="0" borderId="2" xfId="0" applyFont="1" applyBorder="1" applyAlignment="1">
      <alignment horizontal="center" vertical="center" wrapText="1"/>
    </xf>
    <xf numFmtId="0" fontId="18" fillId="0" borderId="25" xfId="0" applyFont="1" applyBorder="1" applyAlignment="1">
      <alignment horizontal="center" vertical="center" wrapText="1"/>
    </xf>
    <xf numFmtId="0" fontId="11" fillId="0" borderId="2" xfId="0" applyFont="1" applyBorder="1" applyAlignment="1">
      <alignment horizontal="center" vertical="center"/>
    </xf>
    <xf numFmtId="0" fontId="11" fillId="0" borderId="25" xfId="0" applyFont="1" applyBorder="1" applyAlignment="1">
      <alignment horizontal="center" vertical="center"/>
    </xf>
    <xf numFmtId="0" fontId="11" fillId="0" borderId="33" xfId="0" applyFont="1" applyBorder="1" applyAlignment="1">
      <alignment horizontal="center" vertical="center"/>
    </xf>
    <xf numFmtId="0" fontId="11" fillId="0" borderId="45" xfId="0" applyFont="1" applyBorder="1" applyAlignment="1">
      <alignment horizontal="center" vertical="center"/>
    </xf>
    <xf numFmtId="0" fontId="11" fillId="0" borderId="52" xfId="0" applyFont="1" applyBorder="1" applyAlignment="1">
      <alignment horizontal="center" vertical="center"/>
    </xf>
    <xf numFmtId="0" fontId="11" fillId="0" borderId="50" xfId="0" applyFont="1" applyBorder="1" applyAlignment="1">
      <alignment horizontal="center" vertical="center"/>
    </xf>
    <xf numFmtId="0" fontId="18" fillId="0" borderId="8" xfId="0" applyFont="1" applyBorder="1" applyAlignment="1">
      <alignment horizontal="center" vertical="center"/>
    </xf>
    <xf numFmtId="0" fontId="18" fillId="0" borderId="29" xfId="0" applyFont="1" applyBorder="1" applyAlignment="1">
      <alignment horizontal="center" vertical="center"/>
    </xf>
    <xf numFmtId="0" fontId="36" fillId="0" borderId="8" xfId="15" applyFont="1" applyBorder="1" applyAlignment="1">
      <alignment horizontal="center" vertical="center"/>
    </xf>
    <xf numFmtId="0" fontId="36" fillId="0" borderId="29" xfId="15" applyFont="1" applyBorder="1" applyAlignment="1">
      <alignment horizontal="center" vertical="center"/>
    </xf>
    <xf numFmtId="0" fontId="40" fillId="0" borderId="58" xfId="15" applyFont="1" applyBorder="1" applyAlignment="1">
      <alignment horizontal="left" vertical="center" wrapText="1"/>
    </xf>
    <xf numFmtId="0" fontId="39" fillId="0" borderId="23" xfId="15" applyFont="1" applyBorder="1" applyAlignment="1">
      <alignment horizontal="center" vertical="center"/>
    </xf>
    <xf numFmtId="0" fontId="39" fillId="0" borderId="24" xfId="15" applyFont="1" applyBorder="1" applyAlignment="1">
      <alignment horizontal="center" vertical="center"/>
    </xf>
    <xf numFmtId="0" fontId="39" fillId="0" borderId="57" xfId="15" applyFont="1" applyBorder="1" applyAlignment="1">
      <alignment horizontal="center" vertical="center"/>
    </xf>
    <xf numFmtId="0" fontId="39" fillId="0" borderId="45" xfId="15" applyFont="1" applyBorder="1" applyAlignment="1">
      <alignment horizontal="center" vertical="center"/>
    </xf>
    <xf numFmtId="0" fontId="38" fillId="0" borderId="51" xfId="15" applyFont="1" applyBorder="1" applyAlignment="1">
      <alignment horizontal="center" vertical="center"/>
    </xf>
    <xf numFmtId="0" fontId="38" fillId="0" borderId="3" xfId="15" applyFont="1" applyBorder="1" applyAlignment="1">
      <alignment horizontal="center" vertical="center"/>
    </xf>
    <xf numFmtId="0" fontId="38" fillId="0" borderId="6" xfId="15" applyFont="1" applyBorder="1" applyAlignment="1">
      <alignment horizontal="center" vertical="center"/>
    </xf>
    <xf numFmtId="0" fontId="38" fillId="0" borderId="47" xfId="15" applyFont="1" applyBorder="1" applyAlignment="1">
      <alignment horizontal="center" vertical="center"/>
    </xf>
    <xf numFmtId="0" fontId="38" fillId="0" borderId="39" xfId="15" applyFont="1" applyBorder="1" applyAlignment="1">
      <alignment horizontal="center" vertical="center"/>
    </xf>
    <xf numFmtId="0" fontId="38" fillId="0" borderId="9" xfId="15" applyFont="1" applyBorder="1" applyAlignment="1">
      <alignment horizontal="center" vertical="center"/>
    </xf>
    <xf numFmtId="0" fontId="38" fillId="0" borderId="29" xfId="15" applyFont="1" applyBorder="1" applyAlignment="1">
      <alignment horizontal="center" vertical="center"/>
    </xf>
    <xf numFmtId="0" fontId="38" fillId="0" borderId="40" xfId="15" applyFont="1" applyBorder="1" applyAlignment="1">
      <alignment horizontal="center" vertical="center"/>
    </xf>
    <xf numFmtId="0" fontId="38" fillId="0" borderId="7" xfId="15" applyFont="1" applyBorder="1" applyAlignment="1">
      <alignment horizontal="center" vertical="center"/>
    </xf>
    <xf numFmtId="0" fontId="38" fillId="0" borderId="10" xfId="15" applyFont="1" applyBorder="1" applyAlignment="1">
      <alignment horizontal="center" vertical="center"/>
    </xf>
    <xf numFmtId="173" fontId="38" fillId="0" borderId="11" xfId="15" applyNumberFormat="1" applyFont="1" applyBorder="1" applyAlignment="1">
      <alignment horizontal="center" vertical="center"/>
    </xf>
    <xf numFmtId="173" fontId="38" fillId="0" borderId="12" xfId="15" applyNumberFormat="1" applyFont="1" applyBorder="1" applyAlignment="1">
      <alignment horizontal="center" vertical="center"/>
    </xf>
    <xf numFmtId="0" fontId="38" fillId="0" borderId="11" xfId="15" applyFont="1" applyBorder="1" applyAlignment="1">
      <alignment horizontal="center" vertical="center"/>
    </xf>
    <xf numFmtId="0" fontId="38" fillId="0" borderId="12" xfId="15" applyFont="1" applyBorder="1" applyAlignment="1">
      <alignment horizontal="center" vertical="center"/>
    </xf>
    <xf numFmtId="0" fontId="38" fillId="0" borderId="5" xfId="15" applyFont="1" applyBorder="1" applyAlignment="1">
      <alignment horizontal="center" vertical="center"/>
    </xf>
    <xf numFmtId="0" fontId="38" fillId="0" borderId="8" xfId="15" applyFont="1" applyBorder="1" applyAlignment="1">
      <alignment horizontal="center" vertical="center"/>
    </xf>
    <xf numFmtId="0" fontId="38" fillId="0" borderId="58" xfId="15" applyFont="1" applyBorder="1" applyAlignment="1">
      <alignment horizontal="center" vertical="center"/>
    </xf>
    <xf numFmtId="0" fontId="38" fillId="0" borderId="1" xfId="15" applyFont="1" applyBorder="1" applyAlignment="1">
      <alignment horizontal="center" vertical="center"/>
    </xf>
    <xf numFmtId="0" fontId="36" fillId="0" borderId="17" xfId="15" applyFont="1" applyBorder="1" applyAlignment="1">
      <alignment horizontal="center" vertical="center"/>
    </xf>
    <xf numFmtId="0" fontId="36" fillId="0" borderId="15" xfId="15" applyFont="1" applyBorder="1" applyAlignment="1">
      <alignment horizontal="center" vertical="center"/>
    </xf>
    <xf numFmtId="0" fontId="36" fillId="0" borderId="16" xfId="15" applyFont="1" applyBorder="1" applyAlignment="1">
      <alignment horizontal="center" vertical="center"/>
    </xf>
    <xf numFmtId="0" fontId="36" fillId="0" borderId="39" xfId="15" applyFont="1" applyBorder="1" applyAlignment="1">
      <alignment horizontal="center" vertical="center"/>
    </xf>
    <xf numFmtId="0" fontId="36" fillId="0" borderId="9" xfId="15" applyFont="1" applyBorder="1" applyAlignment="1">
      <alignment horizontal="center" vertical="center"/>
    </xf>
    <xf numFmtId="0" fontId="47" fillId="0" borderId="17" xfId="15" applyFont="1" applyBorder="1" applyAlignment="1">
      <alignment horizontal="center" vertical="center"/>
    </xf>
    <xf numFmtId="0" fontId="47" fillId="0" borderId="15" xfId="15" applyFont="1" applyBorder="1" applyAlignment="1">
      <alignment horizontal="center" vertical="center"/>
    </xf>
    <xf numFmtId="0" fontId="47" fillId="0" borderId="16" xfId="15" applyFont="1" applyBorder="1" applyAlignment="1">
      <alignment horizontal="center" vertical="center"/>
    </xf>
    <xf numFmtId="0" fontId="47" fillId="0" borderId="39" xfId="15" applyFont="1" applyBorder="1" applyAlignment="1">
      <alignment horizontal="center" vertical="center"/>
    </xf>
    <xf numFmtId="0" fontId="47" fillId="0" borderId="9" xfId="15" applyFont="1" applyBorder="1" applyAlignment="1">
      <alignment horizontal="center" vertical="center"/>
    </xf>
    <xf numFmtId="0" fontId="47" fillId="0" borderId="29" xfId="15" applyFont="1" applyBorder="1" applyAlignment="1">
      <alignment horizontal="center" vertical="center"/>
    </xf>
    <xf numFmtId="0" fontId="37" fillId="0" borderId="40" xfId="15" applyFont="1" applyBorder="1" applyAlignment="1">
      <alignment horizontal="center" vertical="center"/>
    </xf>
    <xf numFmtId="0" fontId="37" fillId="0" borderId="6" xfId="15" applyFont="1" applyBorder="1" applyAlignment="1">
      <alignment horizontal="center" vertical="center"/>
    </xf>
    <xf numFmtId="0" fontId="37" fillId="0" borderId="7" xfId="15" applyFont="1" applyBorder="1" applyAlignment="1">
      <alignment horizontal="center" vertical="center"/>
    </xf>
    <xf numFmtId="0" fontId="37" fillId="0" borderId="39" xfId="15" applyFont="1" applyBorder="1" applyAlignment="1">
      <alignment horizontal="center" vertical="center"/>
    </xf>
    <xf numFmtId="0" fontId="37" fillId="0" borderId="9" xfId="15" applyFont="1" applyBorder="1" applyAlignment="1">
      <alignment horizontal="center" vertical="center"/>
    </xf>
    <xf numFmtId="0" fontId="37" fillId="0" borderId="10" xfId="15" applyFont="1" applyBorder="1" applyAlignment="1">
      <alignment horizontal="center" vertical="center"/>
    </xf>
    <xf numFmtId="0" fontId="37" fillId="0" borderId="58" xfId="15" applyFont="1" applyBorder="1" applyAlignment="1">
      <alignment horizontal="center" vertical="center"/>
    </xf>
    <xf numFmtId="0" fontId="37" fillId="0" borderId="1" xfId="15" applyFont="1" applyBorder="1" applyAlignment="1">
      <alignment horizontal="center" vertical="center"/>
    </xf>
    <xf numFmtId="0" fontId="36" fillId="0" borderId="1" xfId="15" applyFont="1" applyBorder="1" applyAlignment="1">
      <alignment horizontal="center" vertical="center" wrapText="1"/>
    </xf>
    <xf numFmtId="0" fontId="36" fillId="0" borderId="1" xfId="15" applyFont="1" applyBorder="1" applyAlignment="1">
      <alignment horizontal="center"/>
    </xf>
    <xf numFmtId="0" fontId="6" fillId="0" borderId="11" xfId="2" applyFont="1" applyBorder="1" applyAlignment="1">
      <alignment horizontal="center" vertical="center" wrapText="1"/>
    </xf>
    <xf numFmtId="0" fontId="6" fillId="0" borderId="12" xfId="2" applyFont="1" applyBorder="1" applyAlignment="1">
      <alignment horizontal="center" vertical="center" wrapText="1"/>
    </xf>
    <xf numFmtId="169" fontId="4" fillId="0" borderId="11" xfId="0" applyNumberFormat="1" applyFont="1" applyBorder="1" applyAlignment="1">
      <alignment vertical="center" wrapText="1"/>
    </xf>
    <xf numFmtId="169" fontId="4" fillId="0" borderId="12" xfId="0" applyNumberFormat="1" applyFont="1" applyBorder="1" applyAlignment="1">
      <alignment vertical="center" wrapText="1"/>
    </xf>
    <xf numFmtId="169" fontId="4" fillId="0" borderId="11" xfId="0" applyNumberFormat="1" applyFont="1" applyBorder="1" applyAlignment="1">
      <alignment horizontal="right" vertical="center" wrapText="1"/>
    </xf>
    <xf numFmtId="169" fontId="4" fillId="0" borderId="12" xfId="0" applyNumberFormat="1" applyFont="1" applyBorder="1" applyAlignment="1">
      <alignment horizontal="right" vertical="center" wrapText="1"/>
    </xf>
    <xf numFmtId="0" fontId="7" fillId="14" borderId="2" xfId="2" applyFont="1" applyFill="1" applyBorder="1" applyAlignment="1">
      <alignment horizontal="center" vertical="center"/>
    </xf>
    <xf numFmtId="0" fontId="7" fillId="14" borderId="4" xfId="2" applyFont="1" applyFill="1" applyBorder="1" applyAlignment="1">
      <alignment horizontal="center" vertical="center"/>
    </xf>
    <xf numFmtId="0" fontId="7" fillId="14" borderId="3" xfId="2" applyFont="1" applyFill="1" applyBorder="1" applyAlignment="1">
      <alignment horizontal="center" vertical="center"/>
    </xf>
    <xf numFmtId="169" fontId="6" fillId="0" borderId="11" xfId="0" applyNumberFormat="1" applyFont="1" applyBorder="1" applyAlignment="1">
      <alignment vertical="center" wrapText="1"/>
    </xf>
    <xf numFmtId="169" fontId="6" fillId="0" borderId="12" xfId="0" applyNumberFormat="1" applyFont="1" applyBorder="1" applyAlignment="1">
      <alignment vertical="center" wrapText="1"/>
    </xf>
    <xf numFmtId="0" fontId="4" fillId="0" borderId="11" xfId="0" applyFont="1" applyBorder="1" applyAlignment="1">
      <alignment horizontal="left" vertical="center" wrapText="1"/>
    </xf>
    <xf numFmtId="0" fontId="4" fillId="0" borderId="12" xfId="0" applyFont="1" applyBorder="1" applyAlignment="1">
      <alignment horizontal="left" vertical="center" wrapText="1"/>
    </xf>
    <xf numFmtId="0" fontId="7" fillId="2" borderId="2" xfId="2" applyFont="1" applyFill="1" applyBorder="1" applyAlignment="1">
      <alignment horizontal="center" vertical="center"/>
    </xf>
    <xf numFmtId="0" fontId="7" fillId="2" borderId="3" xfId="2" applyFont="1" applyFill="1" applyBorder="1" applyAlignment="1">
      <alignment horizontal="center" vertical="center"/>
    </xf>
    <xf numFmtId="0" fontId="7" fillId="2" borderId="4" xfId="2" applyFont="1" applyFill="1" applyBorder="1" applyAlignment="1">
      <alignment horizontal="center" vertical="center"/>
    </xf>
    <xf numFmtId="0" fontId="6" fillId="0" borderId="11" xfId="2" applyFont="1" applyBorder="1" applyAlignment="1">
      <alignment horizontal="left" vertical="center" wrapText="1"/>
    </xf>
    <xf numFmtId="0" fontId="6" fillId="0" borderId="12" xfId="2" applyFont="1" applyBorder="1" applyAlignment="1">
      <alignment horizontal="left" vertical="center" wrapText="1"/>
    </xf>
    <xf numFmtId="177" fontId="3" fillId="0" borderId="11" xfId="0" applyNumberFormat="1" applyFont="1" applyBorder="1" applyAlignment="1">
      <alignment horizontal="left" vertical="center" wrapText="1"/>
    </xf>
    <xf numFmtId="177" fontId="3" fillId="0" borderId="12" xfId="0" applyNumberFormat="1" applyFont="1" applyBorder="1" applyAlignment="1">
      <alignment horizontal="left" vertical="center" wrapText="1"/>
    </xf>
    <xf numFmtId="0" fontId="6" fillId="0" borderId="0" xfId="2" applyFont="1" applyAlignment="1">
      <alignment horizontal="center" vertical="center"/>
    </xf>
    <xf numFmtId="175" fontId="4" fillId="0" borderId="11" xfId="8" applyNumberFormat="1" applyFont="1" applyBorder="1" applyAlignment="1">
      <alignment horizontal="right"/>
    </xf>
    <xf numFmtId="175" fontId="4" fillId="0" borderId="12" xfId="8" applyNumberFormat="1" applyFont="1" applyBorder="1" applyAlignment="1">
      <alignment horizontal="right"/>
    </xf>
    <xf numFmtId="0" fontId="1" fillId="0" borderId="17" xfId="12" applyBorder="1" applyAlignment="1">
      <alignment horizontal="center"/>
    </xf>
    <xf numFmtId="0" fontId="1" fillId="0" borderId="15" xfId="12" applyBorder="1" applyAlignment="1">
      <alignment horizontal="center"/>
    </xf>
    <xf numFmtId="0" fontId="1" fillId="0" borderId="16" xfId="12" applyBorder="1" applyAlignment="1">
      <alignment horizontal="center"/>
    </xf>
    <xf numFmtId="0" fontId="1" fillId="0" borderId="21" xfId="12" applyBorder="1" applyAlignment="1">
      <alignment horizontal="center"/>
    </xf>
    <xf numFmtId="0" fontId="1" fillId="0" borderId="0" xfId="12" applyAlignment="1">
      <alignment horizontal="center"/>
    </xf>
    <xf numFmtId="0" fontId="1" fillId="0" borderId="20" xfId="12" applyBorder="1" applyAlignment="1">
      <alignment horizontal="center"/>
    </xf>
    <xf numFmtId="0" fontId="24" fillId="0" borderId="15" xfId="12" applyFont="1" applyBorder="1" applyAlignment="1">
      <alignment horizontal="center" vertical="center"/>
    </xf>
    <xf numFmtId="0" fontId="24" fillId="0" borderId="0" xfId="12" applyFont="1" applyAlignment="1">
      <alignment horizontal="center" vertical="center"/>
    </xf>
    <xf numFmtId="0" fontId="56" fillId="0" borderId="17" xfId="12" applyFont="1" applyBorder="1" applyAlignment="1">
      <alignment horizontal="center"/>
    </xf>
    <xf numFmtId="0" fontId="56" fillId="0" borderId="16" xfId="12" applyFont="1" applyBorder="1" applyAlignment="1">
      <alignment horizontal="center"/>
    </xf>
    <xf numFmtId="0" fontId="56" fillId="0" borderId="21" xfId="12" applyFont="1" applyBorder="1" applyAlignment="1">
      <alignment horizontal="center"/>
    </xf>
    <xf numFmtId="0" fontId="56" fillId="0" borderId="20" xfId="12" applyFont="1" applyBorder="1" applyAlignment="1">
      <alignment horizontal="center"/>
    </xf>
    <xf numFmtId="14" fontId="2" fillId="0" borderId="0" xfId="12" applyNumberFormat="1" applyFont="1" applyAlignment="1">
      <alignment horizontal="center" vertical="center"/>
    </xf>
    <xf numFmtId="0" fontId="57" fillId="0" borderId="0" xfId="12" applyFont="1" applyAlignment="1">
      <alignment horizontal="center" vertical="center"/>
    </xf>
    <xf numFmtId="0" fontId="58" fillId="0" borderId="0" xfId="12" applyFont="1" applyAlignment="1">
      <alignment horizontal="center" vertical="center"/>
    </xf>
    <xf numFmtId="0" fontId="45" fillId="0" borderId="0" xfId="12" applyFont="1" applyAlignment="1">
      <alignment horizontal="center" vertical="center"/>
    </xf>
    <xf numFmtId="49" fontId="59" fillId="0" borderId="21" xfId="12" applyNumberFormat="1" applyFont="1" applyBorder="1" applyAlignment="1">
      <alignment horizontal="center" vertical="center" shrinkToFit="1"/>
    </xf>
    <xf numFmtId="49" fontId="59" fillId="0" borderId="20" xfId="12" applyNumberFormat="1" applyFont="1" applyBorder="1" applyAlignment="1">
      <alignment horizontal="center" vertical="center" shrinkToFit="1"/>
    </xf>
    <xf numFmtId="0" fontId="21" fillId="0" borderId="1" xfId="12" applyFont="1" applyBorder="1" applyAlignment="1">
      <alignment horizontal="center" vertical="center"/>
    </xf>
    <xf numFmtId="49" fontId="22" fillId="0" borderId="1" xfId="12" applyNumberFormat="1" applyFont="1" applyBorder="1" applyAlignment="1">
      <alignment horizontal="center" vertical="center" shrinkToFit="1"/>
    </xf>
    <xf numFmtId="0" fontId="23" fillId="0" borderId="1" xfId="12" applyFont="1" applyBorder="1" applyAlignment="1">
      <alignment horizontal="center"/>
    </xf>
    <xf numFmtId="0" fontId="29" fillId="0" borderId="21" xfId="12" applyFont="1" applyBorder="1" applyAlignment="1">
      <alignment horizontal="center" vertical="center"/>
    </xf>
    <xf numFmtId="0" fontId="29" fillId="0" borderId="0" xfId="12" applyFont="1" applyAlignment="1">
      <alignment horizontal="center" vertical="center"/>
    </xf>
    <xf numFmtId="0" fontId="29" fillId="0" borderId="20" xfId="12" applyFont="1" applyBorder="1" applyAlignment="1">
      <alignment horizontal="center" vertical="center"/>
    </xf>
    <xf numFmtId="0" fontId="21" fillId="14" borderId="21" xfId="12" applyFont="1" applyFill="1" applyBorder="1" applyAlignment="1">
      <alignment horizontal="center" vertical="center" wrapText="1"/>
    </xf>
    <xf numFmtId="0" fontId="21" fillId="14" borderId="0" xfId="12" applyFont="1" applyFill="1" applyAlignment="1">
      <alignment horizontal="center" vertical="center" wrapText="1"/>
    </xf>
    <xf numFmtId="0" fontId="21" fillId="14" borderId="20" xfId="12" applyFont="1" applyFill="1" applyBorder="1" applyAlignment="1">
      <alignment horizontal="center" vertical="center" wrapText="1"/>
    </xf>
    <xf numFmtId="0" fontId="21" fillId="14" borderId="22" xfId="12" applyFont="1" applyFill="1" applyBorder="1" applyAlignment="1">
      <alignment horizontal="center" vertical="center" wrapText="1"/>
    </xf>
    <xf numFmtId="0" fontId="21" fillId="14" borderId="23" xfId="12" applyFont="1" applyFill="1" applyBorder="1" applyAlignment="1">
      <alignment horizontal="center" vertical="center" wrapText="1"/>
    </xf>
    <xf numFmtId="0" fontId="21" fillId="14" borderId="24" xfId="12" applyFont="1" applyFill="1" applyBorder="1" applyAlignment="1">
      <alignment horizontal="center" vertical="center" wrapText="1"/>
    </xf>
    <xf numFmtId="0" fontId="2" fillId="14" borderId="21" xfId="12" applyFont="1" applyFill="1" applyBorder="1" applyAlignment="1">
      <alignment horizontal="center" vertical="center" wrapText="1"/>
    </xf>
    <xf numFmtId="0" fontId="2" fillId="14" borderId="0" xfId="12" applyFont="1" applyFill="1" applyAlignment="1">
      <alignment horizontal="center" vertical="center" wrapText="1"/>
    </xf>
    <xf numFmtId="0" fontId="2" fillId="14" borderId="20" xfId="12" applyFont="1" applyFill="1" applyBorder="1" applyAlignment="1">
      <alignment horizontal="center" vertical="center" wrapText="1"/>
    </xf>
    <xf numFmtId="0" fontId="2" fillId="14" borderId="22" xfId="12" applyFont="1" applyFill="1" applyBorder="1" applyAlignment="1">
      <alignment horizontal="center" vertical="center" wrapText="1"/>
    </xf>
    <xf numFmtId="0" fontId="2" fillId="14" borderId="23" xfId="12" applyFont="1" applyFill="1" applyBorder="1" applyAlignment="1">
      <alignment horizontal="center" vertical="center" wrapText="1"/>
    </xf>
    <xf numFmtId="0" fontId="2" fillId="14" borderId="24" xfId="12" applyFont="1" applyFill="1" applyBorder="1" applyAlignment="1">
      <alignment horizontal="center" vertical="center" wrapText="1"/>
    </xf>
    <xf numFmtId="0" fontId="29" fillId="0" borderId="17" xfId="12" applyFont="1" applyBorder="1" applyAlignment="1">
      <alignment horizontal="center" vertical="center"/>
    </xf>
    <xf numFmtId="0" fontId="29" fillId="0" borderId="15" xfId="12" applyFont="1" applyBorder="1" applyAlignment="1">
      <alignment horizontal="center" vertical="center"/>
    </xf>
    <xf numFmtId="0" fontId="29" fillId="0" borderId="16" xfId="12" applyFont="1" applyBorder="1" applyAlignment="1">
      <alignment horizontal="center" vertical="center"/>
    </xf>
    <xf numFmtId="0" fontId="9" fillId="20" borderId="17" xfId="12" applyFont="1" applyFill="1" applyBorder="1" applyAlignment="1">
      <alignment horizontal="center" vertical="center" wrapText="1"/>
    </xf>
    <xf numFmtId="0" fontId="9" fillId="20" borderId="15" xfId="12" applyFont="1" applyFill="1" applyBorder="1" applyAlignment="1">
      <alignment horizontal="center" vertical="center" wrapText="1"/>
    </xf>
    <xf numFmtId="0" fontId="9" fillId="20" borderId="16" xfId="12" applyFont="1" applyFill="1" applyBorder="1" applyAlignment="1">
      <alignment horizontal="center" vertical="center" wrapText="1"/>
    </xf>
    <xf numFmtId="0" fontId="9" fillId="20" borderId="22" xfId="12" applyFont="1" applyFill="1" applyBorder="1" applyAlignment="1">
      <alignment horizontal="center" vertical="center" wrapText="1"/>
    </xf>
    <xf numFmtId="0" fontId="9" fillId="20" borderId="23" xfId="12" applyFont="1" applyFill="1" applyBorder="1" applyAlignment="1">
      <alignment horizontal="center" vertical="center" wrapText="1"/>
    </xf>
    <xf numFmtId="0" fontId="9" fillId="20" borderId="24" xfId="12"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2"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29" fillId="0" borderId="0" xfId="12" applyFont="1" applyBorder="1" applyAlignment="1">
      <alignment horizontal="center" vertical="center"/>
    </xf>
    <xf numFmtId="0" fontId="29" fillId="0" borderId="22" xfId="12" applyFont="1" applyBorder="1" applyAlignment="1">
      <alignment horizontal="center" vertical="center"/>
    </xf>
    <xf numFmtId="0" fontId="29" fillId="0" borderId="23" xfId="12" applyFont="1" applyBorder="1" applyAlignment="1">
      <alignment horizontal="center" vertical="center"/>
    </xf>
    <xf numFmtId="0" fontId="29" fillId="0" borderId="24" xfId="12" applyFont="1" applyBorder="1" applyAlignment="1">
      <alignment horizontal="center" vertical="center"/>
    </xf>
    <xf numFmtId="0" fontId="19" fillId="20" borderId="17" xfId="12" applyFont="1" applyFill="1" applyBorder="1" applyAlignment="1">
      <alignment horizontal="center" vertical="center" wrapText="1"/>
    </xf>
    <xf numFmtId="0" fontId="19" fillId="20" borderId="15" xfId="12" applyFont="1" applyFill="1" applyBorder="1" applyAlignment="1">
      <alignment horizontal="center" vertical="center" wrapText="1"/>
    </xf>
    <xf numFmtId="0" fontId="19" fillId="20" borderId="16" xfId="12" applyFont="1" applyFill="1" applyBorder="1" applyAlignment="1">
      <alignment horizontal="center" vertical="center" wrapText="1"/>
    </xf>
    <xf numFmtId="0" fontId="19" fillId="20" borderId="22" xfId="12" applyFont="1" applyFill="1" applyBorder="1" applyAlignment="1">
      <alignment horizontal="center" vertical="center" wrapText="1"/>
    </xf>
    <xf numFmtId="0" fontId="19" fillId="20" borderId="23" xfId="12" applyFont="1" applyFill="1" applyBorder="1" applyAlignment="1">
      <alignment horizontal="center" vertical="center" wrapText="1"/>
    </xf>
    <xf numFmtId="0" fontId="19" fillId="20" borderId="24" xfId="12" applyFont="1" applyFill="1" applyBorder="1" applyAlignment="1">
      <alignment horizontal="center" vertical="center" wrapText="1"/>
    </xf>
    <xf numFmtId="0" fontId="24" fillId="0" borderId="16" xfId="12" applyFont="1" applyBorder="1" applyAlignment="1">
      <alignment horizontal="center" vertical="center"/>
    </xf>
    <xf numFmtId="0" fontId="24" fillId="0" borderId="0" xfId="12" applyFont="1" applyBorder="1" applyAlignment="1">
      <alignment horizontal="center" vertical="center"/>
    </xf>
    <xf numFmtId="0" fontId="24" fillId="0" borderId="20" xfId="12" applyFont="1" applyBorder="1" applyAlignment="1">
      <alignment horizontal="center" vertical="center"/>
    </xf>
    <xf numFmtId="0" fontId="2" fillId="0" borderId="3" xfId="12" applyFont="1" applyBorder="1" applyAlignment="1">
      <alignment horizontal="center" vertical="center"/>
    </xf>
    <xf numFmtId="0" fontId="2" fillId="0" borderId="4" xfId="12" applyFont="1" applyBorder="1" applyAlignment="1">
      <alignment horizontal="center" vertical="center"/>
    </xf>
    <xf numFmtId="0" fontId="2" fillId="0" borderId="2" xfId="12" applyFont="1" applyBorder="1" applyAlignment="1">
      <alignment horizontal="center" vertical="center"/>
    </xf>
    <xf numFmtId="14" fontId="2" fillId="0" borderId="2" xfId="12" applyNumberFormat="1" applyFont="1" applyBorder="1" applyAlignment="1">
      <alignment horizontal="center" vertical="center"/>
    </xf>
    <xf numFmtId="0" fontId="35" fillId="0" borderId="6" xfId="12" applyFont="1" applyBorder="1" applyAlignment="1">
      <alignment horizontal="center" vertical="center"/>
    </xf>
    <xf numFmtId="0" fontId="35" fillId="0" borderId="7" xfId="12" applyFont="1" applyBorder="1" applyAlignment="1">
      <alignment horizontal="center" vertical="center"/>
    </xf>
    <xf numFmtId="0" fontId="35" fillId="0" borderId="9" xfId="12" applyFont="1" applyBorder="1" applyAlignment="1">
      <alignment horizontal="center" vertical="center"/>
    </xf>
    <xf numFmtId="0" fontId="35" fillId="0" borderId="10" xfId="12" applyFont="1" applyBorder="1" applyAlignment="1">
      <alignment horizontal="center" vertical="center"/>
    </xf>
    <xf numFmtId="49" fontId="22" fillId="0" borderId="26" xfId="12" applyNumberFormat="1" applyFont="1" applyBorder="1" applyAlignment="1">
      <alignment horizontal="center" vertical="center" shrinkToFit="1"/>
    </xf>
    <xf numFmtId="0" fontId="23" fillId="14" borderId="17" xfId="13" applyFont="1" applyFill="1" applyBorder="1" applyAlignment="1">
      <alignment horizontal="center" vertical="center" wrapText="1"/>
    </xf>
    <xf numFmtId="0" fontId="23" fillId="14" borderId="15" xfId="13" applyFont="1" applyFill="1" applyBorder="1" applyAlignment="1">
      <alignment horizontal="center" vertical="center" wrapText="1"/>
    </xf>
    <xf numFmtId="0" fontId="23" fillId="14" borderId="16" xfId="13" applyFont="1" applyFill="1" applyBorder="1" applyAlignment="1">
      <alignment horizontal="center" vertical="center" wrapText="1"/>
    </xf>
    <xf numFmtId="0" fontId="23" fillId="14" borderId="22" xfId="13" applyFont="1" applyFill="1" applyBorder="1" applyAlignment="1">
      <alignment horizontal="center" vertical="center" wrapText="1"/>
    </xf>
    <xf numFmtId="0" fontId="23" fillId="14" borderId="23" xfId="13" applyFont="1" applyFill="1" applyBorder="1" applyAlignment="1">
      <alignment horizontal="center" vertical="center" wrapText="1"/>
    </xf>
    <xf numFmtId="0" fontId="23" fillId="14" borderId="24" xfId="13" applyFont="1" applyFill="1" applyBorder="1" applyAlignment="1">
      <alignment horizontal="center" vertical="center" wrapText="1"/>
    </xf>
    <xf numFmtId="0" fontId="53" fillId="8" borderId="17" xfId="17" applyFont="1" applyFill="1" applyBorder="1" applyAlignment="1">
      <alignment horizontal="center" vertical="center" wrapText="1"/>
    </xf>
    <xf numFmtId="0" fontId="53" fillId="8" borderId="15" xfId="17" applyFont="1" applyFill="1" applyBorder="1" applyAlignment="1">
      <alignment horizontal="center" vertical="center" wrapText="1"/>
    </xf>
    <xf numFmtId="0" fontId="53" fillId="8" borderId="16" xfId="17" applyFont="1" applyFill="1" applyBorder="1" applyAlignment="1">
      <alignment horizontal="center" vertical="center" wrapText="1"/>
    </xf>
    <xf numFmtId="0" fontId="53" fillId="8" borderId="22" xfId="17" applyFont="1" applyFill="1" applyBorder="1" applyAlignment="1">
      <alignment horizontal="center" vertical="center" wrapText="1"/>
    </xf>
    <xf numFmtId="0" fontId="53" fillId="8" borderId="23" xfId="17" applyFont="1" applyFill="1" applyBorder="1" applyAlignment="1">
      <alignment horizontal="center" vertical="center" wrapText="1"/>
    </xf>
    <xf numFmtId="0" fontId="53" fillId="8" borderId="24" xfId="17" applyFont="1" applyFill="1" applyBorder="1" applyAlignment="1">
      <alignment horizontal="center" vertical="center" wrapText="1"/>
    </xf>
    <xf numFmtId="0" fontId="53" fillId="8" borderId="5" xfId="17" applyFont="1" applyFill="1" applyBorder="1" applyAlignment="1">
      <alignment horizontal="center" vertical="center" wrapText="1"/>
    </xf>
    <xf numFmtId="0" fontId="53" fillId="8" borderId="6" xfId="17" applyFont="1" applyFill="1" applyBorder="1" applyAlignment="1">
      <alignment horizontal="center" vertical="center" wrapText="1"/>
    </xf>
    <xf numFmtId="0" fontId="53" fillId="8" borderId="7" xfId="17" applyFont="1" applyFill="1" applyBorder="1" applyAlignment="1">
      <alignment horizontal="center" vertical="center" wrapText="1"/>
    </xf>
    <xf numFmtId="0" fontId="53" fillId="8" borderId="8" xfId="17" applyFont="1" applyFill="1" applyBorder="1" applyAlignment="1">
      <alignment horizontal="center" vertical="center" wrapText="1"/>
    </xf>
    <xf numFmtId="0" fontId="53" fillId="8" borderId="9" xfId="17" applyFont="1" applyFill="1" applyBorder="1" applyAlignment="1">
      <alignment horizontal="center" vertical="center" wrapText="1"/>
    </xf>
    <xf numFmtId="0" fontId="53" fillId="8" borderId="10" xfId="17" applyFont="1" applyFill="1" applyBorder="1" applyAlignment="1">
      <alignment horizontal="center" vertical="center" wrapText="1"/>
    </xf>
    <xf numFmtId="0" fontId="35" fillId="0" borderId="48" xfId="12" applyFont="1" applyBorder="1" applyAlignment="1">
      <alignment horizontal="center" vertical="center"/>
    </xf>
    <xf numFmtId="0" fontId="35" fillId="0" borderId="49" xfId="12" applyFont="1" applyBorder="1" applyAlignment="1">
      <alignment horizontal="center" vertical="center"/>
    </xf>
    <xf numFmtId="0" fontId="35" fillId="0" borderId="50" xfId="12" applyFont="1" applyBorder="1" applyAlignment="1">
      <alignment horizontal="center" vertical="center"/>
    </xf>
    <xf numFmtId="0" fontId="44" fillId="8" borderId="17" xfId="12" applyFont="1" applyFill="1" applyBorder="1" applyAlignment="1">
      <alignment horizontal="center" vertical="center" wrapText="1"/>
    </xf>
    <xf numFmtId="0" fontId="44" fillId="8" borderId="15" xfId="12" applyFont="1" applyFill="1" applyBorder="1" applyAlignment="1">
      <alignment horizontal="center" vertical="center" wrapText="1"/>
    </xf>
    <xf numFmtId="0" fontId="44" fillId="8" borderId="16" xfId="12" applyFont="1" applyFill="1" applyBorder="1" applyAlignment="1">
      <alignment horizontal="center" vertical="center" wrapText="1"/>
    </xf>
    <xf numFmtId="0" fontId="44" fillId="8" borderId="22" xfId="12" applyFont="1" applyFill="1" applyBorder="1" applyAlignment="1">
      <alignment horizontal="center" vertical="center" wrapText="1"/>
    </xf>
    <xf numFmtId="0" fontId="44" fillId="8" borderId="23" xfId="12" applyFont="1" applyFill="1" applyBorder="1" applyAlignment="1">
      <alignment horizontal="center" vertical="center" wrapText="1"/>
    </xf>
    <xf numFmtId="0" fontId="44" fillId="8" borderId="24" xfId="12" applyFont="1" applyFill="1" applyBorder="1" applyAlignment="1">
      <alignment horizontal="center" vertical="center" wrapText="1"/>
    </xf>
    <xf numFmtId="0" fontId="19" fillId="8" borderId="17" xfId="12" applyFont="1" applyFill="1" applyBorder="1" applyAlignment="1">
      <alignment horizontal="center" vertical="center" wrapText="1"/>
    </xf>
    <xf numFmtId="0" fontId="19" fillId="8" borderId="15" xfId="12" applyFont="1" applyFill="1" applyBorder="1" applyAlignment="1">
      <alignment horizontal="center" vertical="center" wrapText="1"/>
    </xf>
    <xf numFmtId="0" fontId="19" fillId="8" borderId="22" xfId="12" applyFont="1" applyFill="1" applyBorder="1" applyAlignment="1">
      <alignment horizontal="center" vertical="center" wrapText="1"/>
    </xf>
    <xf numFmtId="0" fontId="19" fillId="8" borderId="23" xfId="12" applyFont="1" applyFill="1" applyBorder="1" applyAlignment="1">
      <alignment horizontal="center" vertical="center" wrapText="1"/>
    </xf>
    <xf numFmtId="0" fontId="2" fillId="21" borderId="17" xfId="12" applyFont="1" applyFill="1" applyBorder="1" applyAlignment="1">
      <alignment horizontal="center" vertical="center" wrapText="1"/>
    </xf>
    <xf numFmtId="0" fontId="2" fillId="21" borderId="22" xfId="12" applyFont="1" applyFill="1" applyBorder="1" applyAlignment="1">
      <alignment horizontal="center" vertical="center" wrapText="1"/>
    </xf>
    <xf numFmtId="0" fontId="19" fillId="8" borderId="16" xfId="12" applyFont="1" applyFill="1" applyBorder="1" applyAlignment="1">
      <alignment horizontal="center" vertical="center" wrapText="1"/>
    </xf>
    <xf numFmtId="0" fontId="19" fillId="8" borderId="24" xfId="12" applyFont="1" applyFill="1" applyBorder="1" applyAlignment="1">
      <alignment horizontal="center" vertical="center" wrapText="1"/>
    </xf>
    <xf numFmtId="0" fontId="35" fillId="0" borderId="41" xfId="12" applyFont="1" applyBorder="1" applyAlignment="1">
      <alignment horizontal="center" vertical="center"/>
    </xf>
    <xf numFmtId="0" fontId="35" fillId="0" borderId="36" xfId="12" applyFont="1" applyBorder="1" applyAlignment="1">
      <alignment horizontal="center" vertical="center"/>
    </xf>
    <xf numFmtId="0" fontId="35" fillId="0" borderId="42" xfId="12" applyFont="1" applyBorder="1" applyAlignment="1">
      <alignment horizontal="center" vertical="center"/>
    </xf>
    <xf numFmtId="0" fontId="19" fillId="7" borderId="17" xfId="12" applyFont="1" applyFill="1" applyBorder="1" applyAlignment="1">
      <alignment horizontal="center" vertical="center" wrapText="1"/>
    </xf>
    <xf numFmtId="0" fontId="19" fillId="7" borderId="22" xfId="12" applyFont="1" applyFill="1" applyBorder="1" applyAlignment="1">
      <alignment horizontal="center" vertical="center" wrapText="1"/>
    </xf>
    <xf numFmtId="0" fontId="24" fillId="0" borderId="17" xfId="12" applyFont="1" applyBorder="1" applyAlignment="1">
      <alignment horizontal="center" vertical="center"/>
    </xf>
    <xf numFmtId="0" fontId="24" fillId="0" borderId="21" xfId="12" applyFont="1" applyBorder="1" applyAlignment="1">
      <alignment horizontal="center" vertical="center"/>
    </xf>
    <xf numFmtId="14" fontId="2" fillId="0" borderId="3" xfId="12" applyNumberFormat="1" applyFont="1" applyBorder="1" applyAlignment="1">
      <alignment horizontal="center" vertical="center"/>
    </xf>
    <xf numFmtId="14" fontId="2" fillId="0" borderId="4" xfId="12" applyNumberFormat="1" applyFont="1" applyBorder="1" applyAlignment="1">
      <alignment horizontal="center" vertical="center"/>
    </xf>
    <xf numFmtId="0" fontId="35" fillId="0" borderId="40" xfId="12" applyFont="1" applyBorder="1" applyAlignment="1">
      <alignment horizontal="center" vertical="center"/>
    </xf>
    <xf numFmtId="0" fontId="35" fillId="0" borderId="21" xfId="12" applyFont="1" applyBorder="1" applyAlignment="1">
      <alignment horizontal="center" vertical="center"/>
    </xf>
    <xf numFmtId="0" fontId="35" fillId="0" borderId="0" xfId="12" applyFont="1" applyAlignment="1">
      <alignment horizontal="center" vertical="center"/>
    </xf>
    <xf numFmtId="0" fontId="35" fillId="0" borderId="14" xfId="12" applyFont="1" applyBorder="1" applyAlignment="1">
      <alignment horizontal="center" vertical="center"/>
    </xf>
    <xf numFmtId="49" fontId="22" fillId="0" borderId="11" xfId="12" applyNumberFormat="1" applyFont="1" applyBorder="1" applyAlignment="1">
      <alignment horizontal="center" vertical="center" shrinkToFit="1"/>
    </xf>
    <xf numFmtId="49" fontId="22" fillId="0" borderId="37" xfId="12" applyNumberFormat="1" applyFont="1" applyBorder="1" applyAlignment="1">
      <alignment horizontal="center" vertical="center" shrinkToFit="1"/>
    </xf>
    <xf numFmtId="0" fontId="9" fillId="14" borderId="31" xfId="7" applyFont="1" applyFill="1" applyBorder="1" applyAlignment="1">
      <alignment horizontal="center" vertical="center" wrapText="1"/>
    </xf>
    <xf numFmtId="0" fontId="9" fillId="14" borderId="18" xfId="7" applyFont="1" applyFill="1" applyBorder="1" applyAlignment="1">
      <alignment horizontal="center" vertical="center" wrapText="1"/>
    </xf>
    <xf numFmtId="0" fontId="9" fillId="14" borderId="19" xfId="7" applyFont="1" applyFill="1" applyBorder="1" applyAlignment="1">
      <alignment horizontal="center" vertical="center" wrapText="1"/>
    </xf>
    <xf numFmtId="0" fontId="9" fillId="14" borderId="35" xfId="7" applyFont="1" applyFill="1" applyBorder="1" applyAlignment="1">
      <alignment horizontal="center" vertical="center" wrapText="1"/>
    </xf>
    <xf numFmtId="0" fontId="9" fillId="14" borderId="27" xfId="7" applyFont="1" applyFill="1" applyBorder="1" applyAlignment="1">
      <alignment horizontal="center" vertical="center" wrapText="1"/>
    </xf>
    <xf numFmtId="0" fontId="9" fillId="14" borderId="28" xfId="7" applyFont="1" applyFill="1" applyBorder="1" applyAlignment="1">
      <alignment horizontal="center" vertical="center" wrapText="1"/>
    </xf>
    <xf numFmtId="0" fontId="9" fillId="14" borderId="4" xfId="7" applyFont="1" applyFill="1" applyBorder="1" applyAlignment="1">
      <alignment horizontal="center" vertical="center" wrapText="1"/>
    </xf>
    <xf numFmtId="0" fontId="9" fillId="14" borderId="1" xfId="7" applyFont="1" applyFill="1" applyBorder="1" applyAlignment="1">
      <alignment horizontal="center" vertical="center" wrapText="1"/>
    </xf>
    <xf numFmtId="0" fontId="1" fillId="0" borderId="22" xfId="12" applyBorder="1" applyAlignment="1">
      <alignment horizontal="center"/>
    </xf>
    <xf numFmtId="0" fontId="1" fillId="0" borderId="23" xfId="12" applyBorder="1" applyAlignment="1">
      <alignment horizontal="center"/>
    </xf>
    <xf numFmtId="0" fontId="1" fillId="0" borderId="24" xfId="12" applyBorder="1" applyAlignment="1">
      <alignment horizontal="center"/>
    </xf>
    <xf numFmtId="0" fontId="9" fillId="14" borderId="17" xfId="7" applyFont="1" applyFill="1" applyBorder="1" applyAlignment="1">
      <alignment horizontal="center" vertical="center" wrapText="1"/>
    </xf>
    <xf numFmtId="0" fontId="9" fillId="14" borderId="15" xfId="7" applyFont="1" applyFill="1" applyBorder="1" applyAlignment="1">
      <alignment horizontal="center" vertical="center" wrapText="1"/>
    </xf>
    <xf numFmtId="0" fontId="9" fillId="14" borderId="16" xfId="7" applyFont="1" applyFill="1" applyBorder="1" applyAlignment="1">
      <alignment horizontal="center" vertical="center" wrapText="1"/>
    </xf>
    <xf numFmtId="0" fontId="9" fillId="14" borderId="22" xfId="7" applyFont="1" applyFill="1" applyBorder="1" applyAlignment="1">
      <alignment horizontal="center" vertical="center" wrapText="1"/>
    </xf>
    <xf numFmtId="0" fontId="9" fillId="14" borderId="23" xfId="7" applyFont="1" applyFill="1" applyBorder="1" applyAlignment="1">
      <alignment horizontal="center" vertical="center" wrapText="1"/>
    </xf>
    <xf numFmtId="0" fontId="9" fillId="14" borderId="24" xfId="7" applyFont="1" applyFill="1" applyBorder="1" applyAlignment="1">
      <alignment horizontal="center" vertical="center" wrapText="1"/>
    </xf>
    <xf numFmtId="0" fontId="9" fillId="14" borderId="10" xfId="7" applyFont="1" applyFill="1" applyBorder="1" applyAlignment="1">
      <alignment horizontal="center" vertical="center" wrapText="1"/>
    </xf>
    <xf numFmtId="0" fontId="9" fillId="14" borderId="12" xfId="7" applyFont="1" applyFill="1" applyBorder="1" applyAlignment="1">
      <alignment horizontal="center" vertical="center" wrapText="1"/>
    </xf>
    <xf numFmtId="0" fontId="9" fillId="14" borderId="21" xfId="7" applyFont="1" applyFill="1" applyBorder="1" applyAlignment="1">
      <alignment horizontal="center" vertical="center" wrapText="1"/>
    </xf>
    <xf numFmtId="0" fontId="9" fillId="14" borderId="0" xfId="7" applyFont="1" applyFill="1" applyAlignment="1">
      <alignment horizontal="center" vertical="center" wrapText="1"/>
    </xf>
    <xf numFmtId="0" fontId="9" fillId="14" borderId="14" xfId="7" applyFont="1" applyFill="1" applyBorder="1" applyAlignment="1">
      <alignment horizontal="center" vertical="center" wrapText="1"/>
    </xf>
    <xf numFmtId="0" fontId="2" fillId="0" borderId="5" xfId="12" applyFont="1" applyBorder="1" applyAlignment="1">
      <alignment horizontal="center" vertical="center"/>
    </xf>
    <xf numFmtId="0" fontId="2" fillId="0" borderId="6" xfId="12" applyFont="1" applyBorder="1" applyAlignment="1">
      <alignment horizontal="center" vertical="center"/>
    </xf>
    <xf numFmtId="0" fontId="2" fillId="0" borderId="7" xfId="12" applyFont="1" applyBorder="1" applyAlignment="1">
      <alignment horizontal="center" vertical="center"/>
    </xf>
    <xf numFmtId="14" fontId="30" fillId="0" borderId="2" xfId="7" applyNumberFormat="1" applyFont="1" applyBorder="1" applyAlignment="1">
      <alignment horizontal="center" vertical="center"/>
    </xf>
    <xf numFmtId="14" fontId="30" fillId="0" borderId="3" xfId="7" applyNumberFormat="1" applyFont="1" applyBorder="1" applyAlignment="1">
      <alignment horizontal="center" vertical="center"/>
    </xf>
    <xf numFmtId="14" fontId="30" fillId="0" borderId="4" xfId="7" applyNumberFormat="1" applyFont="1" applyBorder="1" applyAlignment="1">
      <alignment horizontal="center" vertical="center"/>
    </xf>
    <xf numFmtId="0" fontId="35" fillId="0" borderId="17" xfId="12" applyFont="1" applyBorder="1" applyAlignment="1">
      <alignment horizontal="center" vertical="center"/>
    </xf>
    <xf numFmtId="0" fontId="35" fillId="0" borderId="15" xfId="12" applyFont="1" applyBorder="1" applyAlignment="1">
      <alignment horizontal="center" vertical="center"/>
    </xf>
    <xf numFmtId="0" fontId="35" fillId="0" borderId="16" xfId="12" applyFont="1" applyBorder="1" applyAlignment="1">
      <alignment horizontal="center" vertical="center"/>
    </xf>
    <xf numFmtId="0" fontId="35" fillId="0" borderId="22" xfId="12" applyFont="1" applyBorder="1" applyAlignment="1">
      <alignment horizontal="center" vertical="center"/>
    </xf>
    <xf numFmtId="0" fontId="35" fillId="0" borderId="23" xfId="12" applyFont="1" applyBorder="1" applyAlignment="1">
      <alignment horizontal="center" vertical="center"/>
    </xf>
    <xf numFmtId="0" fontId="35" fillId="0" borderId="20" xfId="12" applyFont="1" applyBorder="1" applyAlignment="1">
      <alignment horizontal="center" vertical="center"/>
    </xf>
    <xf numFmtId="0" fontId="0" fillId="20" borderId="17" xfId="12" applyFont="1" applyFill="1" applyBorder="1" applyAlignment="1">
      <alignment horizontal="center" vertical="center" wrapText="1"/>
    </xf>
    <xf numFmtId="0" fontId="0" fillId="20" borderId="15" xfId="12" applyFont="1" applyFill="1" applyBorder="1" applyAlignment="1">
      <alignment horizontal="center" vertical="center" wrapText="1"/>
    </xf>
    <xf numFmtId="0" fontId="0" fillId="20" borderId="16" xfId="12" applyFont="1" applyFill="1" applyBorder="1" applyAlignment="1">
      <alignment horizontal="center" vertical="center" wrapText="1"/>
    </xf>
    <xf numFmtId="0" fontId="0" fillId="20" borderId="22" xfId="12" applyFont="1" applyFill="1" applyBorder="1" applyAlignment="1">
      <alignment horizontal="center" vertical="center" wrapText="1"/>
    </xf>
    <xf numFmtId="0" fontId="0" fillId="20" borderId="23" xfId="12" applyFont="1" applyFill="1" applyBorder="1" applyAlignment="1">
      <alignment horizontal="center" vertical="center" wrapText="1"/>
    </xf>
    <xf numFmtId="0" fontId="0" fillId="20" borderId="24" xfId="12" applyFont="1" applyFill="1" applyBorder="1" applyAlignment="1">
      <alignment horizontal="center" vertical="center" wrapText="1"/>
    </xf>
    <xf numFmtId="0" fontId="1" fillId="20" borderId="15" xfId="12" applyFill="1" applyBorder="1" applyAlignment="1">
      <alignment horizontal="center" vertical="center" wrapText="1"/>
    </xf>
    <xf numFmtId="0" fontId="1" fillId="20" borderId="16" xfId="12" applyFill="1" applyBorder="1" applyAlignment="1">
      <alignment horizontal="center" vertical="center" wrapText="1"/>
    </xf>
    <xf numFmtId="0" fontId="1" fillId="20" borderId="22" xfId="12" applyFill="1" applyBorder="1" applyAlignment="1">
      <alignment horizontal="center" vertical="center" wrapText="1"/>
    </xf>
    <xf numFmtId="0" fontId="1" fillId="20" borderId="23" xfId="12" applyFill="1" applyBorder="1" applyAlignment="1">
      <alignment horizontal="center" vertical="center" wrapText="1"/>
    </xf>
    <xf numFmtId="0" fontId="1" fillId="20" borderId="24" xfId="12" applyFill="1" applyBorder="1" applyAlignment="1">
      <alignment horizontal="center" vertical="center" wrapText="1"/>
    </xf>
    <xf numFmtId="0" fontId="23" fillId="20" borderId="17" xfId="12" applyFont="1" applyFill="1" applyBorder="1" applyAlignment="1">
      <alignment horizontal="center" vertical="center" wrapText="1"/>
    </xf>
    <xf numFmtId="0" fontId="23" fillId="20" borderId="15" xfId="12" applyFont="1" applyFill="1" applyBorder="1" applyAlignment="1">
      <alignment horizontal="center" vertical="center" wrapText="1"/>
    </xf>
    <xf numFmtId="0" fontId="23" fillId="20" borderId="16" xfId="12" applyFont="1" applyFill="1" applyBorder="1" applyAlignment="1">
      <alignment horizontal="center" vertical="center" wrapText="1"/>
    </xf>
    <xf numFmtId="0" fontId="23" fillId="20" borderId="22" xfId="12" applyFont="1" applyFill="1" applyBorder="1" applyAlignment="1">
      <alignment horizontal="center" vertical="center" wrapText="1"/>
    </xf>
    <xf numFmtId="0" fontId="23" fillId="20" borderId="23" xfId="12" applyFont="1" applyFill="1" applyBorder="1" applyAlignment="1">
      <alignment horizontal="center" vertical="center" wrapText="1"/>
    </xf>
    <xf numFmtId="0" fontId="23" fillId="20" borderId="24" xfId="12" applyFont="1" applyFill="1" applyBorder="1" applyAlignment="1">
      <alignment horizontal="center" vertical="center" wrapText="1"/>
    </xf>
    <xf numFmtId="0" fontId="35" fillId="0" borderId="39" xfId="12" applyFont="1" applyBorder="1" applyAlignment="1">
      <alignment horizontal="center" vertical="center"/>
    </xf>
    <xf numFmtId="0" fontId="21" fillId="20" borderId="17" xfId="12" applyFont="1" applyFill="1" applyBorder="1" applyAlignment="1">
      <alignment horizontal="center" vertical="center" wrapText="1"/>
    </xf>
    <xf numFmtId="0" fontId="21" fillId="20" borderId="15" xfId="12" applyFont="1" applyFill="1" applyBorder="1" applyAlignment="1">
      <alignment horizontal="center" vertical="center" wrapText="1"/>
    </xf>
    <xf numFmtId="0" fontId="21" fillId="20" borderId="16" xfId="12" applyFont="1" applyFill="1" applyBorder="1" applyAlignment="1">
      <alignment horizontal="center" vertical="center" wrapText="1"/>
    </xf>
    <xf numFmtId="0" fontId="21" fillId="20" borderId="22" xfId="12" applyFont="1" applyFill="1" applyBorder="1" applyAlignment="1">
      <alignment horizontal="center" vertical="center" wrapText="1"/>
    </xf>
    <xf numFmtId="0" fontId="21" fillId="20" borderId="23" xfId="12" applyFont="1" applyFill="1" applyBorder="1" applyAlignment="1">
      <alignment horizontal="center" vertical="center" wrapText="1"/>
    </xf>
    <xf numFmtId="0" fontId="21" fillId="20" borderId="24" xfId="12" applyFont="1" applyFill="1" applyBorder="1" applyAlignment="1">
      <alignment horizontal="center" vertical="center" wrapText="1"/>
    </xf>
    <xf numFmtId="0" fontId="2" fillId="20" borderId="17" xfId="12" applyFont="1" applyFill="1" applyBorder="1" applyAlignment="1">
      <alignment horizontal="center" vertical="center" wrapText="1"/>
    </xf>
    <xf numFmtId="0" fontId="2" fillId="20" borderId="15" xfId="12" applyFont="1" applyFill="1" applyBorder="1" applyAlignment="1">
      <alignment horizontal="center" vertical="center" wrapText="1"/>
    </xf>
    <xf numFmtId="0" fontId="2" fillId="20" borderId="16" xfId="12" applyFont="1" applyFill="1" applyBorder="1" applyAlignment="1">
      <alignment horizontal="center" vertical="center" wrapText="1"/>
    </xf>
    <xf numFmtId="0" fontId="2" fillId="20" borderId="22" xfId="12" applyFont="1" applyFill="1" applyBorder="1" applyAlignment="1">
      <alignment horizontal="center" vertical="center" wrapText="1"/>
    </xf>
    <xf numFmtId="0" fontId="2" fillId="20" borderId="23" xfId="12" applyFont="1" applyFill="1" applyBorder="1" applyAlignment="1">
      <alignment horizontal="center" vertical="center" wrapText="1"/>
    </xf>
    <xf numFmtId="0" fontId="2" fillId="20" borderId="24" xfId="12" applyFont="1" applyFill="1" applyBorder="1" applyAlignment="1">
      <alignment horizontal="center" vertical="center" wrapText="1"/>
    </xf>
    <xf numFmtId="0" fontId="2" fillId="0" borderId="51" xfId="12" applyFont="1" applyBorder="1" applyAlignment="1">
      <alignment horizontal="center" vertical="center"/>
    </xf>
    <xf numFmtId="0" fontId="2" fillId="0" borderId="25" xfId="12" applyFont="1" applyBorder="1" applyAlignment="1">
      <alignment horizontal="center" vertical="center"/>
    </xf>
    <xf numFmtId="0" fontId="21" fillId="0" borderId="2" xfId="12" applyFont="1" applyBorder="1" applyAlignment="1">
      <alignment horizontal="center" vertical="center"/>
    </xf>
    <xf numFmtId="0" fontId="21" fillId="0" borderId="25" xfId="12" applyFont="1" applyBorder="1" applyAlignment="1">
      <alignment horizontal="center" vertical="center"/>
    </xf>
    <xf numFmtId="0" fontId="61" fillId="0" borderId="40" xfId="12" applyFont="1" applyBorder="1" applyAlignment="1">
      <alignment horizontal="center" vertical="center"/>
    </xf>
    <xf numFmtId="0" fontId="61" fillId="0" borderId="6" xfId="12" applyFont="1" applyBorder="1" applyAlignment="1">
      <alignment horizontal="center" vertical="center"/>
    </xf>
    <xf numFmtId="0" fontId="61" fillId="0" borderId="7" xfId="12" applyFont="1" applyBorder="1" applyAlignment="1">
      <alignment horizontal="center" vertical="center"/>
    </xf>
    <xf numFmtId="0" fontId="61" fillId="0" borderId="39" xfId="12" applyFont="1" applyBorder="1" applyAlignment="1">
      <alignment horizontal="center" vertical="center"/>
    </xf>
    <xf numFmtId="0" fontId="61" fillId="0" borderId="9" xfId="12" applyFont="1" applyBorder="1" applyAlignment="1">
      <alignment horizontal="center" vertical="center"/>
    </xf>
    <xf numFmtId="0" fontId="61" fillId="0" borderId="10" xfId="12" applyFont="1" applyBorder="1" applyAlignment="1">
      <alignment horizontal="center" vertical="center"/>
    </xf>
    <xf numFmtId="49" fontId="62" fillId="0" borderId="1" xfId="12" applyNumberFormat="1" applyFont="1" applyBorder="1" applyAlignment="1">
      <alignment horizontal="center" vertical="center" shrinkToFit="1"/>
    </xf>
    <xf numFmtId="49" fontId="62" fillId="0" borderId="26" xfId="12" applyNumberFormat="1" applyFont="1" applyBorder="1" applyAlignment="1">
      <alignment horizontal="center" vertical="center" shrinkToFit="1"/>
    </xf>
    <xf numFmtId="0" fontId="63" fillId="0" borderId="21" xfId="12" applyFont="1" applyBorder="1" applyAlignment="1">
      <alignment horizontal="center" vertical="center"/>
    </xf>
    <xf numFmtId="0" fontId="63" fillId="0" borderId="0" xfId="12" applyFont="1" applyAlignment="1">
      <alignment horizontal="center" vertical="center"/>
    </xf>
    <xf numFmtId="0" fontId="63" fillId="0" borderId="20" xfId="12" applyFont="1" applyBorder="1" applyAlignment="1">
      <alignment horizontal="center" vertical="center"/>
    </xf>
    <xf numFmtId="0" fontId="2" fillId="21" borderId="15" xfId="12" applyFont="1" applyFill="1" applyBorder="1" applyAlignment="1">
      <alignment horizontal="center" vertical="center" wrapText="1"/>
    </xf>
    <xf numFmtId="0" fontId="2" fillId="21" borderId="16" xfId="12" applyFont="1" applyFill="1" applyBorder="1" applyAlignment="1">
      <alignment horizontal="center" vertical="center" wrapText="1"/>
    </xf>
    <xf numFmtId="0" fontId="2" fillId="21" borderId="23" xfId="12" applyFont="1" applyFill="1" applyBorder="1" applyAlignment="1">
      <alignment horizontal="center" vertical="center" wrapText="1"/>
    </xf>
    <xf numFmtId="0" fontId="2" fillId="21" borderId="24" xfId="12" applyFont="1" applyFill="1" applyBorder="1" applyAlignment="1">
      <alignment horizontal="center" vertical="center" wrapText="1"/>
    </xf>
    <xf numFmtId="0" fontId="63" fillId="0" borderId="17" xfId="12" applyFont="1" applyBorder="1" applyAlignment="1">
      <alignment horizontal="center" vertical="center"/>
    </xf>
    <xf numFmtId="0" fontId="63" fillId="0" borderId="15" xfId="12" applyFont="1" applyBorder="1" applyAlignment="1">
      <alignment horizontal="center" vertical="center"/>
    </xf>
    <xf numFmtId="0" fontId="63" fillId="0" borderId="16" xfId="12" applyFont="1" applyBorder="1" applyAlignment="1">
      <alignment horizontal="center" vertical="center"/>
    </xf>
    <xf numFmtId="0" fontId="63" fillId="0" borderId="22" xfId="12" applyFont="1" applyBorder="1" applyAlignment="1">
      <alignment horizontal="center" vertical="center"/>
    </xf>
    <xf numFmtId="0" fontId="63" fillId="0" borderId="23" xfId="12" applyFont="1" applyBorder="1" applyAlignment="1">
      <alignment horizontal="center" vertical="center"/>
    </xf>
    <xf numFmtId="0" fontId="63" fillId="0" borderId="24" xfId="12" applyFont="1" applyBorder="1" applyAlignment="1">
      <alignment horizontal="center" vertical="center"/>
    </xf>
    <xf numFmtId="0" fontId="2" fillId="21" borderId="41" xfId="12" applyFont="1" applyFill="1" applyBorder="1" applyAlignment="1">
      <alignment horizontal="center" vertical="center" wrapText="1"/>
    </xf>
    <xf numFmtId="0" fontId="0" fillId="21" borderId="36" xfId="12" applyFont="1" applyFill="1" applyBorder="1" applyAlignment="1">
      <alignment horizontal="center" vertical="center" wrapText="1"/>
    </xf>
    <xf numFmtId="0" fontId="0" fillId="21" borderId="42" xfId="12" applyFont="1" applyFill="1" applyBorder="1" applyAlignment="1">
      <alignment horizontal="center" vertical="center" wrapText="1"/>
    </xf>
    <xf numFmtId="0" fontId="2" fillId="21" borderId="36" xfId="12" applyFont="1" applyFill="1" applyBorder="1" applyAlignment="1">
      <alignment horizontal="center" vertical="center" wrapText="1"/>
    </xf>
    <xf numFmtId="0" fontId="2" fillId="21" borderId="42" xfId="12" applyFont="1" applyFill="1" applyBorder="1" applyAlignment="1">
      <alignment horizontal="center" vertical="center" wrapText="1"/>
    </xf>
    <xf numFmtId="0" fontId="21" fillId="21" borderId="17" xfId="12" applyFont="1" applyFill="1" applyBorder="1" applyAlignment="1">
      <alignment horizontal="center" vertical="center" wrapText="1"/>
    </xf>
    <xf numFmtId="0" fontId="21" fillId="21" borderId="15" xfId="12" applyFont="1" applyFill="1" applyBorder="1" applyAlignment="1">
      <alignment horizontal="center" vertical="center" wrapText="1"/>
    </xf>
    <xf numFmtId="0" fontId="21" fillId="21" borderId="16" xfId="12" applyFont="1" applyFill="1" applyBorder="1" applyAlignment="1">
      <alignment horizontal="center" vertical="center" wrapText="1"/>
    </xf>
    <xf numFmtId="0" fontId="21" fillId="21" borderId="22" xfId="12" applyFont="1" applyFill="1" applyBorder="1" applyAlignment="1">
      <alignment horizontal="center" vertical="center" wrapText="1"/>
    </xf>
    <xf numFmtId="0" fontId="21" fillId="21" borderId="23" xfId="12" applyFont="1" applyFill="1" applyBorder="1" applyAlignment="1">
      <alignment horizontal="center" vertical="center" wrapText="1"/>
    </xf>
    <xf numFmtId="0" fontId="21" fillId="21" borderId="24" xfId="12" applyFont="1" applyFill="1" applyBorder="1" applyAlignment="1">
      <alignment horizontal="center" vertical="center" wrapText="1"/>
    </xf>
    <xf numFmtId="0" fontId="23" fillId="21" borderId="17" xfId="12" applyFont="1" applyFill="1" applyBorder="1" applyAlignment="1">
      <alignment horizontal="center" vertical="center" wrapText="1"/>
    </xf>
    <xf numFmtId="0" fontId="23" fillId="21" borderId="15" xfId="12" applyFont="1" applyFill="1" applyBorder="1" applyAlignment="1">
      <alignment horizontal="center" vertical="center" wrapText="1"/>
    </xf>
    <xf numFmtId="0" fontId="23" fillId="21" borderId="16" xfId="12" applyFont="1" applyFill="1" applyBorder="1" applyAlignment="1">
      <alignment horizontal="center" vertical="center" wrapText="1"/>
    </xf>
    <xf numFmtId="0" fontId="23" fillId="21" borderId="22" xfId="12" applyFont="1" applyFill="1" applyBorder="1" applyAlignment="1">
      <alignment horizontal="center" vertical="center" wrapText="1"/>
    </xf>
    <xf numFmtId="0" fontId="23" fillId="21" borderId="23" xfId="12" applyFont="1" applyFill="1" applyBorder="1" applyAlignment="1">
      <alignment horizontal="center" vertical="center" wrapText="1"/>
    </xf>
    <xf numFmtId="0" fontId="23" fillId="21" borderId="24" xfId="12" applyFont="1" applyFill="1" applyBorder="1" applyAlignment="1">
      <alignment horizontal="center" vertical="center" wrapText="1"/>
    </xf>
    <xf numFmtId="0" fontId="0" fillId="21" borderId="17" xfId="12" applyFont="1" applyFill="1" applyBorder="1" applyAlignment="1">
      <alignment horizontal="center" vertical="center" wrapText="1"/>
    </xf>
    <xf numFmtId="0" fontId="1" fillId="21" borderId="15" xfId="12" applyFill="1" applyBorder="1" applyAlignment="1">
      <alignment horizontal="center" vertical="center" wrapText="1"/>
    </xf>
    <xf numFmtId="0" fontId="1" fillId="21" borderId="16" xfId="12" applyFill="1" applyBorder="1" applyAlignment="1">
      <alignment horizontal="center" vertical="center" wrapText="1"/>
    </xf>
    <xf numFmtId="0" fontId="1" fillId="21" borderId="22" xfId="12" applyFill="1" applyBorder="1" applyAlignment="1">
      <alignment horizontal="center" vertical="center" wrapText="1"/>
    </xf>
    <xf numFmtId="0" fontId="1" fillId="21" borderId="23" xfId="12" applyFill="1" applyBorder="1" applyAlignment="1">
      <alignment horizontal="center" vertical="center" wrapText="1"/>
    </xf>
    <xf numFmtId="0" fontId="1" fillId="21" borderId="24" xfId="12" applyFill="1" applyBorder="1" applyAlignment="1">
      <alignment horizontal="center" vertical="center" wrapText="1"/>
    </xf>
    <xf numFmtId="0" fontId="0" fillId="21" borderId="41" xfId="12" applyFont="1" applyFill="1" applyBorder="1" applyAlignment="1">
      <alignment horizontal="center" vertical="center" wrapText="1"/>
    </xf>
    <xf numFmtId="0" fontId="1" fillId="21" borderId="36" xfId="12" applyFill="1" applyBorder="1" applyAlignment="1">
      <alignment horizontal="center" vertical="center" wrapText="1"/>
    </xf>
    <xf numFmtId="0" fontId="1" fillId="21" borderId="42" xfId="12" applyFill="1" applyBorder="1" applyAlignment="1">
      <alignment horizontal="center" vertical="center" wrapText="1"/>
    </xf>
  </cellXfs>
  <cellStyles count="19">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2 4" xfId="18" xr:uid="{00000000-0005-0000-0000-00000C000000}"/>
    <cellStyle name="Normal 3" xfId="6" xr:uid="{00000000-0005-0000-0000-00000D000000}"/>
    <cellStyle name="Normal 3 2" xfId="17" xr:uid="{00000000-0005-0000-0000-00000E000000}"/>
    <cellStyle name="Normal 3 7" xfId="13" xr:uid="{00000000-0005-0000-0000-00000F000000}"/>
    <cellStyle name="Normal 3 9" xfId="7" xr:uid="{00000000-0005-0000-0000-000010000000}"/>
    <cellStyle name="Porcentaje" xfId="1" builtinId="5"/>
    <cellStyle name="Porcentaje 3" xfId="16" xr:uid="{00000000-0005-0000-0000-000012000000}"/>
  </cellStyles>
  <dxfs count="96">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externalLink" Target="externalLinks/externalLink8.xml"/><Relationship Id="rId26" Type="http://schemas.openxmlformats.org/officeDocument/2006/relationships/externalLink" Target="externalLinks/externalLink16.xml"/><Relationship Id="rId39"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externalLink" Target="externalLinks/externalLink11.xml"/><Relationship Id="rId34" Type="http://schemas.openxmlformats.org/officeDocument/2006/relationships/externalLink" Target="externalLinks/externalLink24.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externalLink" Target="externalLinks/externalLink7.xml"/><Relationship Id="rId25" Type="http://schemas.openxmlformats.org/officeDocument/2006/relationships/externalLink" Target="externalLinks/externalLink15.xml"/><Relationship Id="rId33" Type="http://schemas.openxmlformats.org/officeDocument/2006/relationships/externalLink" Target="externalLinks/externalLink23.xml"/><Relationship Id="rId38"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externalLink" Target="externalLinks/externalLink6.xml"/><Relationship Id="rId20" Type="http://schemas.openxmlformats.org/officeDocument/2006/relationships/externalLink" Target="externalLinks/externalLink10.xml"/><Relationship Id="rId29" Type="http://schemas.openxmlformats.org/officeDocument/2006/relationships/externalLink" Target="externalLinks/externalLink1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24" Type="http://schemas.openxmlformats.org/officeDocument/2006/relationships/externalLink" Target="externalLinks/externalLink14.xml"/><Relationship Id="rId32" Type="http://schemas.openxmlformats.org/officeDocument/2006/relationships/externalLink" Target="externalLinks/externalLink22.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externalLink" Target="externalLinks/externalLink5.xml"/><Relationship Id="rId23" Type="http://schemas.openxmlformats.org/officeDocument/2006/relationships/externalLink" Target="externalLinks/externalLink13.xml"/><Relationship Id="rId28" Type="http://schemas.openxmlformats.org/officeDocument/2006/relationships/externalLink" Target="externalLinks/externalLink18.xml"/><Relationship Id="rId36" Type="http://schemas.openxmlformats.org/officeDocument/2006/relationships/externalLink" Target="externalLinks/externalLink26.xml"/><Relationship Id="rId10" Type="http://schemas.openxmlformats.org/officeDocument/2006/relationships/worksheet" Target="worksheets/sheet10.xml"/><Relationship Id="rId19" Type="http://schemas.openxmlformats.org/officeDocument/2006/relationships/externalLink" Target="externalLinks/externalLink9.xml"/><Relationship Id="rId31" Type="http://schemas.openxmlformats.org/officeDocument/2006/relationships/externalLink" Target="externalLinks/externalLink2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openxmlformats.org/officeDocument/2006/relationships/externalLink" Target="externalLinks/externalLink12.xml"/><Relationship Id="rId27" Type="http://schemas.openxmlformats.org/officeDocument/2006/relationships/externalLink" Target="externalLinks/externalLink17.xml"/><Relationship Id="rId30" Type="http://schemas.openxmlformats.org/officeDocument/2006/relationships/externalLink" Target="externalLinks/externalLink20.xml"/><Relationship Id="rId35" Type="http://schemas.openxmlformats.org/officeDocument/2006/relationships/externalLink" Target="externalLinks/externalLink25.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(Formato!$F$244:$G$244,Formato!$H$244:$I$244)</c:f>
              <c:strCache>
                <c:ptCount val="3"/>
                <c:pt idx="0">
                  <c:v>Programado</c:v>
                </c:pt>
                <c:pt idx="2">
                  <c:v>Ejecutado</c:v>
                </c:pt>
              </c:strCache>
            </c:strRef>
          </c:cat>
          <c:val>
            <c:numRef>
              <c:f>(Formato!$F$245:$G$245,Formato!$H$245:$I$245)</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1563237152"/>
        <c:axId val="1563236608"/>
      </c:barChart>
      <c:catAx>
        <c:axId val="156323715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563236608"/>
        <c:crosses val="autoZero"/>
        <c:auto val="0"/>
        <c:lblAlgn val="ctr"/>
        <c:lblOffset val="100"/>
        <c:tickMarkSkip val="1"/>
        <c:noMultiLvlLbl val="0"/>
      </c:catAx>
      <c:valAx>
        <c:axId val="156323660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56323715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(Formato!$E$159:$F$159,Formato!$G$159:$H$159)</c:f>
              <c:strCache>
                <c:ptCount val="3"/>
                <c:pt idx="0">
                  <c:v>Programado</c:v>
                </c:pt>
                <c:pt idx="2">
                  <c:v>Ejecutado</c:v>
                </c:pt>
              </c:strCache>
            </c:strRef>
          </c:cat>
          <c:val>
            <c:numRef>
              <c:f>(Formato!$E$160:$F$160,Formato!$G$160:$H$160)</c:f>
              <c:numCache>
                <c:formatCode>0.00%</c:formatCode>
                <c:ptCount val="4"/>
                <c:pt idx="0">
                  <c:v>0.72599999999999998</c:v>
                </c:pt>
                <c:pt idx="2">
                  <c:v>0.85440000000000005</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1563249664"/>
        <c:axId val="1563242592"/>
      </c:barChart>
      <c:catAx>
        <c:axId val="156324966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563242592"/>
        <c:crosses val="autoZero"/>
        <c:auto val="0"/>
        <c:lblAlgn val="ctr"/>
        <c:lblOffset val="100"/>
        <c:tickMarkSkip val="1"/>
        <c:noMultiLvlLbl val="0"/>
      </c:catAx>
      <c:valAx>
        <c:axId val="156324259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56324966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(Formato!$F$201:$G$201,Formato!$H$201:$I$201)</c:f>
              <c:strCache>
                <c:ptCount val="3"/>
                <c:pt idx="0">
                  <c:v>Programado</c:v>
                </c:pt>
                <c:pt idx="2">
                  <c:v>Ejecutado</c:v>
                </c:pt>
              </c:strCache>
            </c:strRef>
          </c:cat>
          <c:val>
            <c:numRef>
              <c:f>(Formato!$F$202:$G$202,Formato!$H$202:$I$202)</c:f>
              <c:numCache>
                <c:formatCode>0.00%</c:formatCode>
                <c:ptCount val="4"/>
                <c:pt idx="0">
                  <c:v>0.54139999999999999</c:v>
                </c:pt>
                <c:pt idx="2">
                  <c:v>0.65990000000000004</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1563237696"/>
        <c:axId val="1563240416"/>
      </c:barChart>
      <c:catAx>
        <c:axId val="156323769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563240416"/>
        <c:crosses val="autoZero"/>
        <c:auto val="0"/>
        <c:lblAlgn val="ctr"/>
        <c:lblOffset val="100"/>
        <c:tickMarkSkip val="1"/>
        <c:noMultiLvlLbl val="0"/>
      </c:catAx>
      <c:valAx>
        <c:axId val="156324041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56323769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(Formato!$E$259:$F$259,Formato!$G$259:$H$259)</c:f>
              <c:strCache>
                <c:ptCount val="3"/>
                <c:pt idx="0">
                  <c:v>Programado</c:v>
                </c:pt>
                <c:pt idx="2">
                  <c:v>Ejecutado</c:v>
                </c:pt>
              </c:strCache>
            </c:strRef>
          </c:cat>
          <c:val>
            <c:numRef>
              <c:f>(Formato!$E$260:$F$260,Formato!$G$260:$H$260)</c:f>
              <c:numCache>
                <c:formatCode>0.00%</c:formatCode>
                <c:ptCount val="4"/>
                <c:pt idx="0">
                  <c:v>0.7944</c:v>
                </c:pt>
                <c:pt idx="2">
                  <c:v>0.85760000000000003</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1563243136"/>
        <c:axId val="1563238240"/>
      </c:barChart>
      <c:catAx>
        <c:axId val="156324313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563238240"/>
        <c:crosses val="autoZero"/>
        <c:auto val="0"/>
        <c:lblAlgn val="ctr"/>
        <c:lblOffset val="100"/>
        <c:tickMarkSkip val="1"/>
        <c:noMultiLvlLbl val="0"/>
      </c:catAx>
      <c:valAx>
        <c:axId val="156323824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56324313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(Formato!$F$279:$G$279,Formato!$H$279:$I$279)</c:f>
              <c:strCache>
                <c:ptCount val="3"/>
                <c:pt idx="0">
                  <c:v>Programado</c:v>
                </c:pt>
                <c:pt idx="2">
                  <c:v>Ejecutado</c:v>
                </c:pt>
              </c:strCache>
            </c:strRef>
          </c:cat>
          <c:val>
            <c:numRef>
              <c:f>(Formato!$F$280:$G$280,Formato!$H$294:$I$294)</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1563249120"/>
        <c:axId val="1563236064"/>
      </c:barChart>
      <c:catAx>
        <c:axId val="156324912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563236064"/>
        <c:crosses val="autoZero"/>
        <c:auto val="0"/>
        <c:lblAlgn val="ctr"/>
        <c:lblOffset val="100"/>
        <c:tickMarkSkip val="1"/>
        <c:noMultiLvlLbl val="0"/>
      </c:catAx>
      <c:valAx>
        <c:axId val="156323606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56324912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Formato!$B$147:$D$152</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Formato!$H$147:$H$152</c:f>
              <c:numCache>
                <c:formatCode>0.00%</c:formatCode>
                <c:ptCount val="6"/>
                <c:pt idx="0">
                  <c:v>0.85440000000000005</c:v>
                </c:pt>
                <c:pt idx="1">
                  <c:v>0.65990000000000004</c:v>
                </c:pt>
                <c:pt idx="2" formatCode="0%">
                  <c:v>1</c:v>
                </c:pt>
                <c:pt idx="3">
                  <c:v>0.85760000000000003</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1563247488"/>
        <c:axId val="1563239328"/>
      </c:barChart>
      <c:catAx>
        <c:axId val="1563247488"/>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563239328"/>
        <c:crosses val="autoZero"/>
        <c:auto val="1"/>
        <c:lblAlgn val="ctr"/>
        <c:lblOffset val="100"/>
        <c:noMultiLvlLbl val="0"/>
      </c:catAx>
      <c:valAx>
        <c:axId val="1563239328"/>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56324748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s>
</file>

<file path=xl/drawings/_rels/drawing3.xml.rels><?xml version="1.0" encoding="UTF-8" standalone="yes"?>
<Relationships xmlns="http://schemas.openxmlformats.org/package/2006/relationships"><Relationship Id="rId8" Type="http://schemas.openxmlformats.org/officeDocument/2006/relationships/image" Target="../media/image12.jpeg"/><Relationship Id="rId3" Type="http://schemas.openxmlformats.org/officeDocument/2006/relationships/image" Target="../media/image7.png"/><Relationship Id="rId7" Type="http://schemas.openxmlformats.org/officeDocument/2006/relationships/image" Target="../media/image11.jpg"/><Relationship Id="rId12" Type="http://schemas.openxmlformats.org/officeDocument/2006/relationships/image" Target="../media/image16.jpe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10.jpeg"/><Relationship Id="rId11" Type="http://schemas.openxmlformats.org/officeDocument/2006/relationships/image" Target="../media/image15.jpg"/><Relationship Id="rId5" Type="http://schemas.openxmlformats.org/officeDocument/2006/relationships/image" Target="../media/image9.jpeg"/><Relationship Id="rId10" Type="http://schemas.openxmlformats.org/officeDocument/2006/relationships/image" Target="../media/image14.jpg"/><Relationship Id="rId4" Type="http://schemas.openxmlformats.org/officeDocument/2006/relationships/image" Target="../media/image8.jpg"/><Relationship Id="rId9" Type="http://schemas.openxmlformats.org/officeDocument/2006/relationships/image" Target="../media/image13.jpg"/></Relationships>
</file>

<file path=xl/drawings/_rels/drawing4.xml.rels><?xml version="1.0" encoding="UTF-8" standalone="yes"?>
<Relationships xmlns="http://schemas.openxmlformats.org/package/2006/relationships"><Relationship Id="rId8" Type="http://schemas.openxmlformats.org/officeDocument/2006/relationships/image" Target="../media/image24.jpeg"/><Relationship Id="rId3" Type="http://schemas.openxmlformats.org/officeDocument/2006/relationships/image" Target="../media/image19.jpeg"/><Relationship Id="rId7" Type="http://schemas.openxmlformats.org/officeDocument/2006/relationships/image" Target="../media/image23.jpeg"/><Relationship Id="rId2" Type="http://schemas.openxmlformats.org/officeDocument/2006/relationships/image" Target="../media/image18.png"/><Relationship Id="rId1" Type="http://schemas.openxmlformats.org/officeDocument/2006/relationships/image" Target="../media/image17.jpeg"/><Relationship Id="rId6" Type="http://schemas.openxmlformats.org/officeDocument/2006/relationships/image" Target="../media/image22.jpeg"/><Relationship Id="rId5" Type="http://schemas.openxmlformats.org/officeDocument/2006/relationships/image" Target="../media/image21.jpeg"/><Relationship Id="rId4" Type="http://schemas.openxmlformats.org/officeDocument/2006/relationships/image" Target="../media/image20.jpeg"/></Relationships>
</file>

<file path=xl/drawings/_rels/drawing5.xml.rels><?xml version="1.0" encoding="UTF-8" standalone="yes"?>
<Relationships xmlns="http://schemas.openxmlformats.org/package/2006/relationships"><Relationship Id="rId8" Type="http://schemas.openxmlformats.org/officeDocument/2006/relationships/image" Target="../media/image30.jpeg"/><Relationship Id="rId13" Type="http://schemas.openxmlformats.org/officeDocument/2006/relationships/image" Target="../media/image35.jpeg"/><Relationship Id="rId3" Type="http://schemas.openxmlformats.org/officeDocument/2006/relationships/image" Target="../media/image25.jpeg"/><Relationship Id="rId7" Type="http://schemas.openxmlformats.org/officeDocument/2006/relationships/image" Target="../media/image29.jpeg"/><Relationship Id="rId12" Type="http://schemas.openxmlformats.org/officeDocument/2006/relationships/image" Target="../media/image34.jpe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28.jpeg"/><Relationship Id="rId11" Type="http://schemas.openxmlformats.org/officeDocument/2006/relationships/image" Target="../media/image33.jpeg"/><Relationship Id="rId5" Type="http://schemas.openxmlformats.org/officeDocument/2006/relationships/image" Target="../media/image27.jpeg"/><Relationship Id="rId10" Type="http://schemas.openxmlformats.org/officeDocument/2006/relationships/image" Target="../media/image32.jpeg"/><Relationship Id="rId4" Type="http://schemas.openxmlformats.org/officeDocument/2006/relationships/image" Target="../media/image26.jpeg"/><Relationship Id="rId9" Type="http://schemas.openxmlformats.org/officeDocument/2006/relationships/image" Target="../media/image31.jpeg"/><Relationship Id="rId14" Type="http://schemas.openxmlformats.org/officeDocument/2006/relationships/image" Target="../media/image36.jpeg"/></Relationships>
</file>

<file path=xl/drawings/_rels/drawing6.xml.rels><?xml version="1.0" encoding="UTF-8" standalone="yes"?>
<Relationships xmlns="http://schemas.openxmlformats.org/package/2006/relationships"><Relationship Id="rId8" Type="http://schemas.openxmlformats.org/officeDocument/2006/relationships/image" Target="../media/image42.jpeg"/><Relationship Id="rId13" Type="http://schemas.openxmlformats.org/officeDocument/2006/relationships/image" Target="../media/image47.jpeg"/><Relationship Id="rId18" Type="http://schemas.openxmlformats.org/officeDocument/2006/relationships/image" Target="../media/image52.jpeg"/><Relationship Id="rId26" Type="http://schemas.openxmlformats.org/officeDocument/2006/relationships/image" Target="../media/image60.jpeg"/><Relationship Id="rId3" Type="http://schemas.openxmlformats.org/officeDocument/2006/relationships/image" Target="../media/image37.jpeg"/><Relationship Id="rId21" Type="http://schemas.openxmlformats.org/officeDocument/2006/relationships/image" Target="../media/image55.jpeg"/><Relationship Id="rId7" Type="http://schemas.openxmlformats.org/officeDocument/2006/relationships/image" Target="../media/image41.jpeg"/><Relationship Id="rId12" Type="http://schemas.openxmlformats.org/officeDocument/2006/relationships/image" Target="../media/image46.jpeg"/><Relationship Id="rId17" Type="http://schemas.openxmlformats.org/officeDocument/2006/relationships/image" Target="../media/image51.jpeg"/><Relationship Id="rId25" Type="http://schemas.openxmlformats.org/officeDocument/2006/relationships/image" Target="../media/image59.jpeg"/><Relationship Id="rId2" Type="http://schemas.openxmlformats.org/officeDocument/2006/relationships/image" Target="../media/image4.png"/><Relationship Id="rId16" Type="http://schemas.openxmlformats.org/officeDocument/2006/relationships/image" Target="../media/image50.jpeg"/><Relationship Id="rId20" Type="http://schemas.openxmlformats.org/officeDocument/2006/relationships/image" Target="../media/image54.jpeg"/><Relationship Id="rId1" Type="http://schemas.openxmlformats.org/officeDocument/2006/relationships/image" Target="../media/image6.jpeg"/><Relationship Id="rId6" Type="http://schemas.openxmlformats.org/officeDocument/2006/relationships/image" Target="../media/image40.jpeg"/><Relationship Id="rId11" Type="http://schemas.openxmlformats.org/officeDocument/2006/relationships/image" Target="../media/image45.jpeg"/><Relationship Id="rId24" Type="http://schemas.openxmlformats.org/officeDocument/2006/relationships/image" Target="../media/image58.jpeg"/><Relationship Id="rId5" Type="http://schemas.openxmlformats.org/officeDocument/2006/relationships/image" Target="../media/image39.jpeg"/><Relationship Id="rId15" Type="http://schemas.openxmlformats.org/officeDocument/2006/relationships/image" Target="../media/image49.jpeg"/><Relationship Id="rId23" Type="http://schemas.openxmlformats.org/officeDocument/2006/relationships/image" Target="../media/image57.jpeg"/><Relationship Id="rId10" Type="http://schemas.openxmlformats.org/officeDocument/2006/relationships/image" Target="../media/image44.jpeg"/><Relationship Id="rId19" Type="http://schemas.openxmlformats.org/officeDocument/2006/relationships/image" Target="../media/image53.jpeg"/><Relationship Id="rId4" Type="http://schemas.openxmlformats.org/officeDocument/2006/relationships/image" Target="../media/image38.jpeg"/><Relationship Id="rId9" Type="http://schemas.openxmlformats.org/officeDocument/2006/relationships/image" Target="../media/image43.jpeg"/><Relationship Id="rId14" Type="http://schemas.openxmlformats.org/officeDocument/2006/relationships/image" Target="../media/image48.jpeg"/><Relationship Id="rId22" Type="http://schemas.openxmlformats.org/officeDocument/2006/relationships/image" Target="../media/image56.jpeg"/></Relationships>
</file>

<file path=xl/drawings/_rels/drawing7.xml.rels><?xml version="1.0" encoding="UTF-8" standalone="yes"?>
<Relationships xmlns="http://schemas.openxmlformats.org/package/2006/relationships"><Relationship Id="rId13" Type="http://schemas.openxmlformats.org/officeDocument/2006/relationships/image" Target="../media/image71.jpeg"/><Relationship Id="rId18" Type="http://schemas.openxmlformats.org/officeDocument/2006/relationships/image" Target="../media/image76.jpeg"/><Relationship Id="rId26" Type="http://schemas.openxmlformats.org/officeDocument/2006/relationships/image" Target="../media/image84.jpeg"/><Relationship Id="rId39" Type="http://schemas.openxmlformats.org/officeDocument/2006/relationships/image" Target="../media/image97.jpeg"/><Relationship Id="rId21" Type="http://schemas.openxmlformats.org/officeDocument/2006/relationships/image" Target="../media/image79.jpeg"/><Relationship Id="rId34" Type="http://schemas.openxmlformats.org/officeDocument/2006/relationships/image" Target="../media/image92.jpeg"/><Relationship Id="rId42" Type="http://schemas.openxmlformats.org/officeDocument/2006/relationships/image" Target="../media/image100.jpeg"/><Relationship Id="rId47" Type="http://schemas.openxmlformats.org/officeDocument/2006/relationships/image" Target="../media/image105.gif"/><Relationship Id="rId50" Type="http://schemas.openxmlformats.org/officeDocument/2006/relationships/image" Target="../media/image108.jpeg"/><Relationship Id="rId55" Type="http://schemas.openxmlformats.org/officeDocument/2006/relationships/image" Target="../media/image113.jpeg"/><Relationship Id="rId7" Type="http://schemas.openxmlformats.org/officeDocument/2006/relationships/image" Target="../media/image65.jpeg"/><Relationship Id="rId12" Type="http://schemas.openxmlformats.org/officeDocument/2006/relationships/image" Target="../media/image70.jpeg"/><Relationship Id="rId17" Type="http://schemas.openxmlformats.org/officeDocument/2006/relationships/image" Target="../media/image75.jpeg"/><Relationship Id="rId25" Type="http://schemas.openxmlformats.org/officeDocument/2006/relationships/image" Target="../media/image83.jpeg"/><Relationship Id="rId33" Type="http://schemas.openxmlformats.org/officeDocument/2006/relationships/image" Target="../media/image91.jpeg"/><Relationship Id="rId38" Type="http://schemas.openxmlformats.org/officeDocument/2006/relationships/image" Target="../media/image96.jpeg"/><Relationship Id="rId46" Type="http://schemas.openxmlformats.org/officeDocument/2006/relationships/image" Target="../media/image104.jpeg"/><Relationship Id="rId2" Type="http://schemas.openxmlformats.org/officeDocument/2006/relationships/image" Target="../media/image4.png"/><Relationship Id="rId16" Type="http://schemas.openxmlformats.org/officeDocument/2006/relationships/image" Target="../media/image74.jpeg"/><Relationship Id="rId20" Type="http://schemas.openxmlformats.org/officeDocument/2006/relationships/image" Target="../media/image78.jpeg"/><Relationship Id="rId29" Type="http://schemas.openxmlformats.org/officeDocument/2006/relationships/image" Target="../media/image87.jpeg"/><Relationship Id="rId41" Type="http://schemas.openxmlformats.org/officeDocument/2006/relationships/image" Target="../media/image99.jpeg"/><Relationship Id="rId54" Type="http://schemas.openxmlformats.org/officeDocument/2006/relationships/image" Target="../media/image112.jpeg"/><Relationship Id="rId1" Type="http://schemas.openxmlformats.org/officeDocument/2006/relationships/image" Target="../media/image6.jpeg"/><Relationship Id="rId6" Type="http://schemas.openxmlformats.org/officeDocument/2006/relationships/image" Target="../media/image64.jpeg"/><Relationship Id="rId11" Type="http://schemas.openxmlformats.org/officeDocument/2006/relationships/image" Target="../media/image69.jpeg"/><Relationship Id="rId24" Type="http://schemas.openxmlformats.org/officeDocument/2006/relationships/image" Target="../media/image82.jpeg"/><Relationship Id="rId32" Type="http://schemas.openxmlformats.org/officeDocument/2006/relationships/image" Target="../media/image90.jpeg"/><Relationship Id="rId37" Type="http://schemas.openxmlformats.org/officeDocument/2006/relationships/image" Target="../media/image95.jpeg"/><Relationship Id="rId40" Type="http://schemas.openxmlformats.org/officeDocument/2006/relationships/image" Target="../media/image98.jpeg"/><Relationship Id="rId45" Type="http://schemas.openxmlformats.org/officeDocument/2006/relationships/image" Target="../media/image103.jpeg"/><Relationship Id="rId53" Type="http://schemas.openxmlformats.org/officeDocument/2006/relationships/image" Target="../media/image111.jpeg"/><Relationship Id="rId58" Type="http://schemas.openxmlformats.org/officeDocument/2006/relationships/image" Target="../media/image116.jpeg"/><Relationship Id="rId5" Type="http://schemas.openxmlformats.org/officeDocument/2006/relationships/image" Target="../media/image63.jpeg"/><Relationship Id="rId15" Type="http://schemas.openxmlformats.org/officeDocument/2006/relationships/image" Target="../media/image73.jpeg"/><Relationship Id="rId23" Type="http://schemas.openxmlformats.org/officeDocument/2006/relationships/image" Target="../media/image81.jpeg"/><Relationship Id="rId28" Type="http://schemas.openxmlformats.org/officeDocument/2006/relationships/image" Target="../media/image86.jpeg"/><Relationship Id="rId36" Type="http://schemas.openxmlformats.org/officeDocument/2006/relationships/image" Target="../media/image94.jpeg"/><Relationship Id="rId49" Type="http://schemas.openxmlformats.org/officeDocument/2006/relationships/image" Target="../media/image107.jpeg"/><Relationship Id="rId57" Type="http://schemas.openxmlformats.org/officeDocument/2006/relationships/image" Target="../media/image115.jpeg"/><Relationship Id="rId10" Type="http://schemas.openxmlformats.org/officeDocument/2006/relationships/image" Target="../media/image68.jpeg"/><Relationship Id="rId19" Type="http://schemas.openxmlformats.org/officeDocument/2006/relationships/image" Target="../media/image77.jpeg"/><Relationship Id="rId31" Type="http://schemas.openxmlformats.org/officeDocument/2006/relationships/image" Target="../media/image89.jpeg"/><Relationship Id="rId44" Type="http://schemas.openxmlformats.org/officeDocument/2006/relationships/image" Target="../media/image102.jpeg"/><Relationship Id="rId52" Type="http://schemas.openxmlformats.org/officeDocument/2006/relationships/image" Target="../media/image110.jpeg"/><Relationship Id="rId4" Type="http://schemas.openxmlformats.org/officeDocument/2006/relationships/image" Target="../media/image62.jpeg"/><Relationship Id="rId9" Type="http://schemas.openxmlformats.org/officeDocument/2006/relationships/image" Target="../media/image67.jpeg"/><Relationship Id="rId14" Type="http://schemas.openxmlformats.org/officeDocument/2006/relationships/image" Target="../media/image72.jpeg"/><Relationship Id="rId22" Type="http://schemas.openxmlformats.org/officeDocument/2006/relationships/image" Target="../media/image80.jpeg"/><Relationship Id="rId27" Type="http://schemas.openxmlformats.org/officeDocument/2006/relationships/image" Target="../media/image85.jpeg"/><Relationship Id="rId30" Type="http://schemas.openxmlformats.org/officeDocument/2006/relationships/image" Target="../media/image88.jpeg"/><Relationship Id="rId35" Type="http://schemas.openxmlformats.org/officeDocument/2006/relationships/image" Target="../media/image93.jpeg"/><Relationship Id="rId43" Type="http://schemas.openxmlformats.org/officeDocument/2006/relationships/image" Target="../media/image101.jpeg"/><Relationship Id="rId48" Type="http://schemas.openxmlformats.org/officeDocument/2006/relationships/image" Target="../media/image106.jpeg"/><Relationship Id="rId56" Type="http://schemas.openxmlformats.org/officeDocument/2006/relationships/image" Target="../media/image114.jpeg"/><Relationship Id="rId8" Type="http://schemas.openxmlformats.org/officeDocument/2006/relationships/image" Target="../media/image66.jpeg"/><Relationship Id="rId51" Type="http://schemas.openxmlformats.org/officeDocument/2006/relationships/image" Target="../media/image109.jpeg"/><Relationship Id="rId3" Type="http://schemas.openxmlformats.org/officeDocument/2006/relationships/image" Target="../media/image61.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23.jpeg"/><Relationship Id="rId13" Type="http://schemas.openxmlformats.org/officeDocument/2006/relationships/image" Target="../media/image128.jpeg"/><Relationship Id="rId3" Type="http://schemas.openxmlformats.org/officeDocument/2006/relationships/image" Target="../media/image118.jpeg"/><Relationship Id="rId7" Type="http://schemas.openxmlformats.org/officeDocument/2006/relationships/image" Target="../media/image122.jpeg"/><Relationship Id="rId12" Type="http://schemas.openxmlformats.org/officeDocument/2006/relationships/image" Target="../media/image127.jpeg"/><Relationship Id="rId2" Type="http://schemas.openxmlformats.org/officeDocument/2006/relationships/image" Target="../media/image117.png"/><Relationship Id="rId1" Type="http://schemas.openxmlformats.org/officeDocument/2006/relationships/image" Target="../media/image6.jpeg"/><Relationship Id="rId6" Type="http://schemas.openxmlformats.org/officeDocument/2006/relationships/image" Target="../media/image121.jpeg"/><Relationship Id="rId11" Type="http://schemas.openxmlformats.org/officeDocument/2006/relationships/image" Target="../media/image126.jpeg"/><Relationship Id="rId5" Type="http://schemas.openxmlformats.org/officeDocument/2006/relationships/image" Target="../media/image120.jpeg"/><Relationship Id="rId10" Type="http://schemas.openxmlformats.org/officeDocument/2006/relationships/image" Target="../media/image125.jpeg"/><Relationship Id="rId4" Type="http://schemas.openxmlformats.org/officeDocument/2006/relationships/image" Target="../media/image119.jpeg"/><Relationship Id="rId9" Type="http://schemas.openxmlformats.org/officeDocument/2006/relationships/image" Target="../media/image124.jpeg"/><Relationship Id="rId14" Type="http://schemas.openxmlformats.org/officeDocument/2006/relationships/image" Target="../media/image129.jpeg"/></Relationships>
</file>

<file path=xl/drawings/_rels/drawing9.xml.rels><?xml version="1.0" encoding="UTF-8" standalone="yes"?>
<Relationships xmlns="http://schemas.openxmlformats.org/package/2006/relationships"><Relationship Id="rId8" Type="http://schemas.openxmlformats.org/officeDocument/2006/relationships/image" Target="../media/image136.jpeg"/><Relationship Id="rId13" Type="http://schemas.openxmlformats.org/officeDocument/2006/relationships/image" Target="../media/image141.jpeg"/><Relationship Id="rId18" Type="http://schemas.openxmlformats.org/officeDocument/2006/relationships/image" Target="../media/image146.jpeg"/><Relationship Id="rId26" Type="http://schemas.openxmlformats.org/officeDocument/2006/relationships/image" Target="../media/image154.jpeg"/><Relationship Id="rId39" Type="http://schemas.openxmlformats.org/officeDocument/2006/relationships/image" Target="../media/image167.jpeg"/><Relationship Id="rId3" Type="http://schemas.openxmlformats.org/officeDocument/2006/relationships/image" Target="../media/image131.jpeg"/><Relationship Id="rId21" Type="http://schemas.openxmlformats.org/officeDocument/2006/relationships/image" Target="../media/image149.jpeg"/><Relationship Id="rId34" Type="http://schemas.openxmlformats.org/officeDocument/2006/relationships/image" Target="../media/image162.jpeg"/><Relationship Id="rId42" Type="http://schemas.openxmlformats.org/officeDocument/2006/relationships/image" Target="../media/image170.jpeg"/><Relationship Id="rId7" Type="http://schemas.openxmlformats.org/officeDocument/2006/relationships/image" Target="../media/image135.jpeg"/><Relationship Id="rId12" Type="http://schemas.openxmlformats.org/officeDocument/2006/relationships/image" Target="../media/image140.jpeg"/><Relationship Id="rId17" Type="http://schemas.openxmlformats.org/officeDocument/2006/relationships/image" Target="../media/image145.jpeg"/><Relationship Id="rId25" Type="http://schemas.openxmlformats.org/officeDocument/2006/relationships/image" Target="../media/image153.jpeg"/><Relationship Id="rId33" Type="http://schemas.openxmlformats.org/officeDocument/2006/relationships/image" Target="../media/image161.jpeg"/><Relationship Id="rId38" Type="http://schemas.openxmlformats.org/officeDocument/2006/relationships/image" Target="../media/image166.jpeg"/><Relationship Id="rId2" Type="http://schemas.openxmlformats.org/officeDocument/2006/relationships/image" Target="../media/image117.png"/><Relationship Id="rId16" Type="http://schemas.openxmlformats.org/officeDocument/2006/relationships/image" Target="../media/image144.jpeg"/><Relationship Id="rId20" Type="http://schemas.openxmlformats.org/officeDocument/2006/relationships/image" Target="../media/image148.jpeg"/><Relationship Id="rId29" Type="http://schemas.openxmlformats.org/officeDocument/2006/relationships/image" Target="../media/image157.jpeg"/><Relationship Id="rId41" Type="http://schemas.openxmlformats.org/officeDocument/2006/relationships/image" Target="../media/image169.jpeg"/><Relationship Id="rId1" Type="http://schemas.openxmlformats.org/officeDocument/2006/relationships/image" Target="../media/image130.jpeg"/><Relationship Id="rId6" Type="http://schemas.openxmlformats.org/officeDocument/2006/relationships/image" Target="../media/image134.jpeg"/><Relationship Id="rId11" Type="http://schemas.openxmlformats.org/officeDocument/2006/relationships/image" Target="../media/image139.jpeg"/><Relationship Id="rId24" Type="http://schemas.openxmlformats.org/officeDocument/2006/relationships/image" Target="../media/image152.jpeg"/><Relationship Id="rId32" Type="http://schemas.openxmlformats.org/officeDocument/2006/relationships/image" Target="../media/image160.jpeg"/><Relationship Id="rId37" Type="http://schemas.openxmlformats.org/officeDocument/2006/relationships/image" Target="../media/image165.jpeg"/><Relationship Id="rId40" Type="http://schemas.openxmlformats.org/officeDocument/2006/relationships/image" Target="../media/image168.jpeg"/><Relationship Id="rId5" Type="http://schemas.openxmlformats.org/officeDocument/2006/relationships/image" Target="../media/image133.jpeg"/><Relationship Id="rId15" Type="http://schemas.openxmlformats.org/officeDocument/2006/relationships/image" Target="../media/image143.jpeg"/><Relationship Id="rId23" Type="http://schemas.openxmlformats.org/officeDocument/2006/relationships/image" Target="../media/image151.jpeg"/><Relationship Id="rId28" Type="http://schemas.openxmlformats.org/officeDocument/2006/relationships/image" Target="../media/image156.jpeg"/><Relationship Id="rId36" Type="http://schemas.openxmlformats.org/officeDocument/2006/relationships/image" Target="../media/image164.jpeg"/><Relationship Id="rId10" Type="http://schemas.openxmlformats.org/officeDocument/2006/relationships/image" Target="../media/image138.jpeg"/><Relationship Id="rId19" Type="http://schemas.openxmlformats.org/officeDocument/2006/relationships/image" Target="../media/image147.jpeg"/><Relationship Id="rId31" Type="http://schemas.openxmlformats.org/officeDocument/2006/relationships/image" Target="../media/image159.jpeg"/><Relationship Id="rId4" Type="http://schemas.openxmlformats.org/officeDocument/2006/relationships/image" Target="../media/image132.jpeg"/><Relationship Id="rId9" Type="http://schemas.openxmlformats.org/officeDocument/2006/relationships/image" Target="../media/image137.jpeg"/><Relationship Id="rId14" Type="http://schemas.openxmlformats.org/officeDocument/2006/relationships/image" Target="../media/image142.jpeg"/><Relationship Id="rId22" Type="http://schemas.openxmlformats.org/officeDocument/2006/relationships/image" Target="../media/image150.jpeg"/><Relationship Id="rId27" Type="http://schemas.openxmlformats.org/officeDocument/2006/relationships/image" Target="../media/image155.jpeg"/><Relationship Id="rId30" Type="http://schemas.openxmlformats.org/officeDocument/2006/relationships/image" Target="../media/image158.jpeg"/><Relationship Id="rId35" Type="http://schemas.openxmlformats.org/officeDocument/2006/relationships/image" Target="../media/image163.jpeg"/></Relationships>
</file>

<file path=xl/drawings/drawing1.xml><?xml version="1.0" encoding="utf-8"?>
<xdr:wsDr xmlns:xdr="http://schemas.openxmlformats.org/drawingml/2006/spreadsheetDrawing" xmlns:a="http://schemas.openxmlformats.org/drawingml/2006/main">
  <xdr:twoCellAnchor>
    <xdr:from>
      <xdr:col>12</xdr:col>
      <xdr:colOff>11905</xdr:colOff>
      <xdr:row>242</xdr:row>
      <xdr:rowOff>0</xdr:rowOff>
    </xdr:from>
    <xdr:to>
      <xdr:col>19</xdr:col>
      <xdr:colOff>1142999</xdr:colOff>
      <xdr:row>250</xdr:row>
      <xdr:rowOff>428625</xdr:rowOff>
    </xdr:to>
    <xdr:graphicFrame macro="">
      <xdr:nvGraphicFramePr>
        <xdr:cNvPr id="3" name="Gráfico 2">
          <a:extLst>
            <a:ext uri="{FF2B5EF4-FFF2-40B4-BE49-F238E27FC236}">
              <a16:creationId xmlns:a16="http://schemas.microsoft.com/office/drawing/2014/main" id="{00000000-0008-0000-00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157</xdr:row>
      <xdr:rowOff>44223</xdr:rowOff>
    </xdr:from>
    <xdr:to>
      <xdr:col>19</xdr:col>
      <xdr:colOff>1143000</xdr:colOff>
      <xdr:row>164</xdr:row>
      <xdr:rowOff>231320</xdr:rowOff>
    </xdr:to>
    <xdr:graphicFrame macro="">
      <xdr:nvGraphicFramePr>
        <xdr:cNvPr id="4" name="Gráfico 5">
          <a:extLst>
            <a:ext uri="{FF2B5EF4-FFF2-40B4-BE49-F238E27FC236}">
              <a16:creationId xmlns:a16="http://schemas.microsoft.com/office/drawing/2014/main" id="{00000000-0008-0000-00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200</xdr:row>
      <xdr:rowOff>83127</xdr:rowOff>
    </xdr:from>
    <xdr:to>
      <xdr:col>19</xdr:col>
      <xdr:colOff>1166812</xdr:colOff>
      <xdr:row>206</xdr:row>
      <xdr:rowOff>193965</xdr:rowOff>
    </xdr:to>
    <xdr:graphicFrame macro="">
      <xdr:nvGraphicFramePr>
        <xdr:cNvPr id="5" name="Gráfico 6">
          <a:extLst>
            <a:ext uri="{FF2B5EF4-FFF2-40B4-BE49-F238E27FC236}">
              <a16:creationId xmlns:a16="http://schemas.microsoft.com/office/drawing/2014/main" id="{00000000-0008-0000-00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257</xdr:row>
      <xdr:rowOff>23813</xdr:rowOff>
    </xdr:from>
    <xdr:to>
      <xdr:col>19</xdr:col>
      <xdr:colOff>1095376</xdr:colOff>
      <xdr:row>264</xdr:row>
      <xdr:rowOff>285750</xdr:rowOff>
    </xdr:to>
    <xdr:graphicFrame macro="">
      <xdr:nvGraphicFramePr>
        <xdr:cNvPr id="6" name="Gráfico 7">
          <a:extLst>
            <a:ext uri="{FF2B5EF4-FFF2-40B4-BE49-F238E27FC236}">
              <a16:creationId xmlns:a16="http://schemas.microsoft.com/office/drawing/2014/main" id="{00000000-0008-0000-00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278</xdr:row>
      <xdr:rowOff>0</xdr:rowOff>
    </xdr:from>
    <xdr:to>
      <xdr:col>19</xdr:col>
      <xdr:colOff>1131094</xdr:colOff>
      <xdr:row>285</xdr:row>
      <xdr:rowOff>11906</xdr:rowOff>
    </xdr:to>
    <xdr:graphicFrame macro="">
      <xdr:nvGraphicFramePr>
        <xdr:cNvPr id="7" name="Gráfico 8">
          <a:extLst>
            <a:ext uri="{FF2B5EF4-FFF2-40B4-BE49-F238E27FC236}">
              <a16:creationId xmlns:a16="http://schemas.microsoft.com/office/drawing/2014/main" id="{00000000-0008-0000-00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00000000-0008-0000-0000-000008000000}"/>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489516" y="292667"/>
          <a:ext cx="2026896" cy="1020129"/>
        </a:xfrm>
        <a:prstGeom prst="rect">
          <a:avLst/>
        </a:prstGeom>
      </xdr:spPr>
    </xdr:pic>
    <xdr:clientData/>
  </xdr:twoCellAnchor>
  <xdr:twoCellAnchor>
    <xdr:from>
      <xdr:col>11</xdr:col>
      <xdr:colOff>142875</xdr:colOff>
      <xdr:row>142</xdr:row>
      <xdr:rowOff>269875</xdr:rowOff>
    </xdr:from>
    <xdr:to>
      <xdr:col>19</xdr:col>
      <xdr:colOff>1188736</xdr:colOff>
      <xdr:row>154</xdr:row>
      <xdr:rowOff>147411</xdr:rowOff>
    </xdr:to>
    <xdr:graphicFrame macro="">
      <xdr:nvGraphicFramePr>
        <xdr:cNvPr id="9" name="Gráfico 8">
          <a:extLst>
            <a:ext uri="{FF2B5EF4-FFF2-40B4-BE49-F238E27FC236}">
              <a16:creationId xmlns:a16="http://schemas.microsoft.com/office/drawing/2014/main" id="{00000000-0008-0000-00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526472</xdr:colOff>
      <xdr:row>389</xdr:row>
      <xdr:rowOff>166254</xdr:rowOff>
    </xdr:from>
    <xdr:to>
      <xdr:col>17</xdr:col>
      <xdr:colOff>94902</xdr:colOff>
      <xdr:row>389</xdr:row>
      <xdr:rowOff>4265814</xdr:rowOff>
    </xdr:to>
    <xdr:pic>
      <xdr:nvPicPr>
        <xdr:cNvPr id="11" name="Imagen 10">
          <a:extLst>
            <a:ext uri="{FF2B5EF4-FFF2-40B4-BE49-F238E27FC236}">
              <a16:creationId xmlns:a16="http://schemas.microsoft.com/office/drawing/2014/main" id="{753DC9E6-5877-4FEA-8747-AF28EEFE5DD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5694217" y="538733999"/>
          <a:ext cx="9557558" cy="40995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0E542FD7-0B12-41EF-9AB5-547D624AC25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59905" y="230505"/>
          <a:ext cx="865167" cy="495300"/>
        </a:xfrm>
        <a:prstGeom prst="rect">
          <a:avLst/>
        </a:prstGeom>
      </xdr:spPr>
    </xdr:pic>
    <xdr:clientData/>
  </xdr:oneCellAnchor>
  <xdr:oneCellAnchor>
    <xdr:from>
      <xdr:col>1</xdr:col>
      <xdr:colOff>104775</xdr:colOff>
      <xdr:row>1</xdr:row>
      <xdr:rowOff>47625</xdr:rowOff>
    </xdr:from>
    <xdr:ext cx="619125" cy="533400"/>
    <xdr:pic>
      <xdr:nvPicPr>
        <xdr:cNvPr id="3" name="4 Imagen">
          <a:extLst>
            <a:ext uri="{FF2B5EF4-FFF2-40B4-BE49-F238E27FC236}">
              <a16:creationId xmlns:a16="http://schemas.microsoft.com/office/drawing/2014/main" id="{C032E1F3-8FF9-40D5-BF88-D51D232CF647}"/>
            </a:ext>
          </a:extLst>
        </xdr:cNvPr>
        <xdr:cNvPicPr>
          <a:picLocks noChangeAspect="1"/>
        </xdr:cNvPicPr>
      </xdr:nvPicPr>
      <xdr:blipFill>
        <a:blip xmlns:r="http://schemas.openxmlformats.org/officeDocument/2006/relationships" r:embed="rId2"/>
        <a:stretch>
          <a:fillRect/>
        </a:stretch>
      </xdr:blipFill>
      <xdr:spPr>
        <a:xfrm>
          <a:off x="417195" y="230505"/>
          <a:ext cx="619125" cy="533400"/>
        </a:xfrm>
        <a:prstGeom prst="rect">
          <a:avLst/>
        </a:prstGeom>
      </xdr:spPr>
    </xdr:pic>
    <xdr:clientData/>
  </xdr:oneCellAnchor>
  <xdr:oneCellAnchor>
    <xdr:from>
      <xdr:col>18</xdr:col>
      <xdr:colOff>342900</xdr:colOff>
      <xdr:row>1</xdr:row>
      <xdr:rowOff>57150</xdr:rowOff>
    </xdr:from>
    <xdr:ext cx="750867" cy="514350"/>
    <xdr:pic>
      <xdr:nvPicPr>
        <xdr:cNvPr id="4" name="Imagen 3">
          <a:extLst>
            <a:ext uri="{FF2B5EF4-FFF2-40B4-BE49-F238E27FC236}">
              <a16:creationId xmlns:a16="http://schemas.microsoft.com/office/drawing/2014/main" id="{51E6FA0B-0432-49C7-AF95-2B62CD885FF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6375380" y="240030"/>
          <a:ext cx="750867" cy="514350"/>
        </a:xfrm>
        <a:prstGeom prst="rect">
          <a:avLst/>
        </a:prstGeom>
      </xdr:spPr>
    </xdr:pic>
    <xdr:clientData/>
  </xdr:oneCellAnchor>
  <xdr:oneCellAnchor>
    <xdr:from>
      <xdr:col>10</xdr:col>
      <xdr:colOff>104775</xdr:colOff>
      <xdr:row>1</xdr:row>
      <xdr:rowOff>38100</xdr:rowOff>
    </xdr:from>
    <xdr:ext cx="552450" cy="542925"/>
    <xdr:pic>
      <xdr:nvPicPr>
        <xdr:cNvPr id="5" name="4 Imagen">
          <a:extLst>
            <a:ext uri="{FF2B5EF4-FFF2-40B4-BE49-F238E27FC236}">
              <a16:creationId xmlns:a16="http://schemas.microsoft.com/office/drawing/2014/main" id="{85ADAEF9-3EE3-4697-89A9-6E515FCE135F}"/>
            </a:ext>
          </a:extLst>
        </xdr:cNvPr>
        <xdr:cNvPicPr>
          <a:picLocks noChangeAspect="1"/>
        </xdr:cNvPicPr>
      </xdr:nvPicPr>
      <xdr:blipFill>
        <a:blip xmlns:r="http://schemas.openxmlformats.org/officeDocument/2006/relationships" r:embed="rId2"/>
        <a:stretch>
          <a:fillRect/>
        </a:stretch>
      </xdr:blipFill>
      <xdr:spPr>
        <a:xfrm>
          <a:off x="9317355" y="220980"/>
          <a:ext cx="552450" cy="542925"/>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D2354B6A-96E3-4CEC-8B3D-B05A01103745}"/>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99474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D7AD4DCF-2DF1-4194-9E31-778734CED5BB}"/>
            </a:ext>
          </a:extLst>
        </xdr:cNvPr>
        <xdr:cNvPicPr>
          <a:picLocks noChangeAspect="1"/>
        </xdr:cNvPicPr>
      </xdr:nvPicPr>
      <xdr:blipFill>
        <a:blip xmlns:r="http://schemas.openxmlformats.org/officeDocument/2006/relationships" r:embed="rId2"/>
        <a:stretch>
          <a:fillRect/>
        </a:stretch>
      </xdr:blipFill>
      <xdr:spPr>
        <a:xfrm>
          <a:off x="8134350" y="375286"/>
          <a:ext cx="933450" cy="552450"/>
        </a:xfrm>
        <a:prstGeom prst="rect">
          <a:avLst/>
        </a:prstGeom>
      </xdr:spPr>
    </xdr:pic>
    <xdr:clientData/>
  </xdr:oneCellAnchor>
  <xdr:twoCellAnchor editAs="oneCell">
    <xdr:from>
      <xdr:col>7</xdr:col>
      <xdr:colOff>168848</xdr:colOff>
      <xdr:row>25</xdr:row>
      <xdr:rowOff>77871</xdr:rowOff>
    </xdr:from>
    <xdr:to>
      <xdr:col>11</xdr:col>
      <xdr:colOff>528848</xdr:colOff>
      <xdr:row>36</xdr:row>
      <xdr:rowOff>96130</xdr:rowOff>
    </xdr:to>
    <xdr:pic>
      <xdr:nvPicPr>
        <xdr:cNvPr id="4" name="Imagen 3">
          <a:extLst>
            <a:ext uri="{FF2B5EF4-FFF2-40B4-BE49-F238E27FC236}">
              <a16:creationId xmlns:a16="http://schemas.microsoft.com/office/drawing/2014/main" id="{0D2BA98A-99FF-4AC5-9453-030700203834}"/>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716208" y="5046111"/>
          <a:ext cx="3529920" cy="2029939"/>
        </a:xfrm>
        <a:prstGeom prst="rect">
          <a:avLst/>
        </a:prstGeom>
      </xdr:spPr>
    </xdr:pic>
    <xdr:clientData/>
  </xdr:twoCellAnchor>
  <xdr:twoCellAnchor editAs="oneCell">
    <xdr:from>
      <xdr:col>1</xdr:col>
      <xdr:colOff>648362</xdr:colOff>
      <xdr:row>24</xdr:row>
      <xdr:rowOff>67172</xdr:rowOff>
    </xdr:from>
    <xdr:to>
      <xdr:col>6</xdr:col>
      <xdr:colOff>197037</xdr:colOff>
      <xdr:row>37</xdr:row>
      <xdr:rowOff>109678</xdr:rowOff>
    </xdr:to>
    <xdr:pic>
      <xdr:nvPicPr>
        <xdr:cNvPr id="5" name="Imagen 4">
          <a:extLst>
            <a:ext uri="{FF2B5EF4-FFF2-40B4-BE49-F238E27FC236}">
              <a16:creationId xmlns:a16="http://schemas.microsoft.com/office/drawing/2014/main" id="{A289C662-943F-4188-8E5D-41852EBE244F}"/>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440842" y="4852532"/>
          <a:ext cx="3511075" cy="2419946"/>
        </a:xfrm>
        <a:prstGeom prst="rect">
          <a:avLst/>
        </a:prstGeom>
      </xdr:spPr>
    </xdr:pic>
    <xdr:clientData/>
  </xdr:twoCellAnchor>
  <xdr:twoCellAnchor editAs="oneCell">
    <xdr:from>
      <xdr:col>7</xdr:col>
      <xdr:colOff>228600</xdr:colOff>
      <xdr:row>8</xdr:row>
      <xdr:rowOff>66675</xdr:rowOff>
    </xdr:from>
    <xdr:to>
      <xdr:col>11</xdr:col>
      <xdr:colOff>540600</xdr:colOff>
      <xdr:row>21</xdr:row>
      <xdr:rowOff>110175</xdr:rowOff>
    </xdr:to>
    <xdr:pic>
      <xdr:nvPicPr>
        <xdr:cNvPr id="6" name="Imagen 5">
          <a:extLst>
            <a:ext uri="{FF2B5EF4-FFF2-40B4-BE49-F238E27FC236}">
              <a16:creationId xmlns:a16="http://schemas.microsoft.com/office/drawing/2014/main" id="{799D41BA-85A3-4E16-A2BB-DF38042611AC}"/>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775960" y="1918335"/>
          <a:ext cx="3481920" cy="2420940"/>
        </a:xfrm>
        <a:prstGeom prst="rect">
          <a:avLst/>
        </a:prstGeom>
      </xdr:spPr>
    </xdr:pic>
    <xdr:clientData/>
  </xdr:twoCellAnchor>
  <xdr:twoCellAnchor editAs="oneCell">
    <xdr:from>
      <xdr:col>1</xdr:col>
      <xdr:colOff>590550</xdr:colOff>
      <xdr:row>8</xdr:row>
      <xdr:rowOff>66675</xdr:rowOff>
    </xdr:from>
    <xdr:to>
      <xdr:col>6</xdr:col>
      <xdr:colOff>140550</xdr:colOff>
      <xdr:row>21</xdr:row>
      <xdr:rowOff>110175</xdr:rowOff>
    </xdr:to>
    <xdr:pic>
      <xdr:nvPicPr>
        <xdr:cNvPr id="7" name="Imagen 6">
          <a:extLst>
            <a:ext uri="{FF2B5EF4-FFF2-40B4-BE49-F238E27FC236}">
              <a16:creationId xmlns:a16="http://schemas.microsoft.com/office/drawing/2014/main" id="{26FF0702-9AB5-42AC-BBDA-C72D3C212CB3}"/>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383030" y="1918335"/>
          <a:ext cx="3512400" cy="2420940"/>
        </a:xfrm>
        <a:prstGeom prst="rect">
          <a:avLst/>
        </a:prstGeom>
      </xdr:spPr>
    </xdr:pic>
    <xdr:clientData/>
  </xdr:twoCellAnchor>
  <xdr:oneCellAnchor>
    <xdr:from>
      <xdr:col>7</xdr:col>
      <xdr:colOff>217135</xdr:colOff>
      <xdr:row>40</xdr:row>
      <xdr:rowOff>65495</xdr:rowOff>
    </xdr:from>
    <xdr:ext cx="3408000" cy="2381869"/>
    <xdr:pic>
      <xdr:nvPicPr>
        <xdr:cNvPr id="8" name="Imagen 7">
          <a:extLst>
            <a:ext uri="{FF2B5EF4-FFF2-40B4-BE49-F238E27FC236}">
              <a16:creationId xmlns:a16="http://schemas.microsoft.com/office/drawing/2014/main" id="{6641A9E7-83DE-43D1-B55D-2AFB4D773491}"/>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739394" y="7936507"/>
          <a:ext cx="3408000" cy="2381869"/>
        </a:xfrm>
        <a:prstGeom prst="rect">
          <a:avLst/>
        </a:prstGeom>
      </xdr:spPr>
    </xdr:pic>
    <xdr:clientData/>
  </xdr:oneCellAnchor>
  <xdr:oneCellAnchor>
    <xdr:from>
      <xdr:col>1</xdr:col>
      <xdr:colOff>649099</xdr:colOff>
      <xdr:row>40</xdr:row>
      <xdr:rowOff>67725</xdr:rowOff>
    </xdr:from>
    <xdr:ext cx="3357202" cy="2379640"/>
    <xdr:pic>
      <xdr:nvPicPr>
        <xdr:cNvPr id="9" name="Imagen 8">
          <a:extLst>
            <a:ext uri="{FF2B5EF4-FFF2-40B4-BE49-F238E27FC236}">
              <a16:creationId xmlns:a16="http://schemas.microsoft.com/office/drawing/2014/main" id="{237CECA1-F705-489A-A103-6C9750044433}"/>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437993" y="7938737"/>
          <a:ext cx="3357202" cy="2379640"/>
        </a:xfrm>
        <a:prstGeom prst="rect">
          <a:avLst/>
        </a:prstGeom>
      </xdr:spPr>
    </xdr:pic>
    <xdr:clientData/>
  </xdr:oneCellAnchor>
  <xdr:oneCellAnchor>
    <xdr:from>
      <xdr:col>7</xdr:col>
      <xdr:colOff>160515</xdr:colOff>
      <xdr:row>56</xdr:row>
      <xdr:rowOff>54305</xdr:rowOff>
    </xdr:from>
    <xdr:ext cx="3404237" cy="2384095"/>
    <xdr:pic>
      <xdr:nvPicPr>
        <xdr:cNvPr id="10" name="Imagen 9">
          <a:extLst>
            <a:ext uri="{FF2B5EF4-FFF2-40B4-BE49-F238E27FC236}">
              <a16:creationId xmlns:a16="http://schemas.microsoft.com/office/drawing/2014/main" id="{2B958811-1F94-4023-A15B-746462866775}"/>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5682774" y="10802987"/>
          <a:ext cx="3404237" cy="2384095"/>
        </a:xfrm>
        <a:prstGeom prst="rect">
          <a:avLst/>
        </a:prstGeom>
      </xdr:spPr>
    </xdr:pic>
    <xdr:clientData/>
  </xdr:oneCellAnchor>
  <xdr:oneCellAnchor>
    <xdr:from>
      <xdr:col>1</xdr:col>
      <xdr:colOff>562098</xdr:colOff>
      <xdr:row>56</xdr:row>
      <xdr:rowOff>89015</xdr:rowOff>
    </xdr:from>
    <xdr:ext cx="3504001" cy="2367315"/>
    <xdr:pic>
      <xdr:nvPicPr>
        <xdr:cNvPr id="11" name="Imagen 10">
          <a:extLst>
            <a:ext uri="{FF2B5EF4-FFF2-40B4-BE49-F238E27FC236}">
              <a16:creationId xmlns:a16="http://schemas.microsoft.com/office/drawing/2014/main" id="{55AB5872-59F7-4E5C-BCDD-CE7B5A334125}"/>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350992" y="10837697"/>
          <a:ext cx="3504001" cy="2367315"/>
        </a:xfrm>
        <a:prstGeom prst="rect">
          <a:avLst/>
        </a:prstGeom>
      </xdr:spPr>
    </xdr:pic>
    <xdr:clientData/>
  </xdr:oneCellAnchor>
  <xdr:oneCellAnchor>
    <xdr:from>
      <xdr:col>2</xdr:col>
      <xdr:colOff>79144</xdr:colOff>
      <xdr:row>72</xdr:row>
      <xdr:rowOff>85724</xdr:rowOff>
    </xdr:from>
    <xdr:ext cx="2894922" cy="2334747"/>
    <xdr:pic>
      <xdr:nvPicPr>
        <xdr:cNvPr id="12" name="Imagen 11">
          <a:extLst>
            <a:ext uri="{FF2B5EF4-FFF2-40B4-BE49-F238E27FC236}">
              <a16:creationId xmlns:a16="http://schemas.microsoft.com/office/drawing/2014/main" id="{C0C24F76-38AB-4A97-B5D5-5836B8DC5609}"/>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t="23876" b="25760"/>
        <a:stretch/>
      </xdr:blipFill>
      <xdr:spPr>
        <a:xfrm>
          <a:off x="1656932" y="14061700"/>
          <a:ext cx="2894922" cy="2334747"/>
        </a:xfrm>
        <a:prstGeom prst="rect">
          <a:avLst/>
        </a:prstGeom>
      </xdr:spPr>
    </xdr:pic>
    <xdr:clientData/>
  </xdr:oneCellAnchor>
  <xdr:oneCellAnchor>
    <xdr:from>
      <xdr:col>7</xdr:col>
      <xdr:colOff>228600</xdr:colOff>
      <xdr:row>72</xdr:row>
      <xdr:rowOff>67113</xdr:rowOff>
    </xdr:from>
    <xdr:ext cx="3404237" cy="2362324"/>
    <xdr:pic>
      <xdr:nvPicPr>
        <xdr:cNvPr id="13" name="Imagen 12">
          <a:extLst>
            <a:ext uri="{FF2B5EF4-FFF2-40B4-BE49-F238E27FC236}">
              <a16:creationId xmlns:a16="http://schemas.microsoft.com/office/drawing/2014/main" id="{5E944E1F-2075-4F1E-AACF-FB7333FA4FBB}"/>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750859" y="14043089"/>
          <a:ext cx="3404237" cy="2362324"/>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0000000-0008-0000-0400-00000200000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936566" y="138343"/>
          <a:ext cx="843803" cy="299808"/>
        </a:xfrm>
        <a:prstGeom prst="rect">
          <a:avLst/>
        </a:prstGeom>
      </xdr:spPr>
    </xdr:pic>
    <xdr:clientData/>
  </xdr:oneCellAnchor>
  <xdr:oneCellAnchor>
    <xdr:from>
      <xdr:col>1</xdr:col>
      <xdr:colOff>247649</xdr:colOff>
      <xdr:row>0</xdr:row>
      <xdr:rowOff>123826</xdr:rowOff>
    </xdr:from>
    <xdr:ext cx="714375" cy="247649"/>
    <xdr:pic>
      <xdr:nvPicPr>
        <xdr:cNvPr id="3" name="4 Imagen">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704849" y="123826"/>
          <a:ext cx="714375" cy="247649"/>
        </a:xfrm>
        <a:prstGeom prst="rect">
          <a:avLst/>
        </a:prstGeom>
      </xdr:spPr>
    </xdr:pic>
    <xdr:clientData/>
  </xdr:oneCellAnchor>
  <xdr:twoCellAnchor editAs="oneCell">
    <xdr:from>
      <xdr:col>1</xdr:col>
      <xdr:colOff>582706</xdr:colOff>
      <xdr:row>5</xdr:row>
      <xdr:rowOff>53788</xdr:rowOff>
    </xdr:from>
    <xdr:to>
      <xdr:col>5</xdr:col>
      <xdr:colOff>871913</xdr:colOff>
      <xdr:row>18</xdr:row>
      <xdr:rowOff>85901</xdr:rowOff>
    </xdr:to>
    <xdr:pic>
      <xdr:nvPicPr>
        <xdr:cNvPr id="14" name="4 Imagen">
          <a:extLst>
            <a:ext uri="{FF2B5EF4-FFF2-40B4-BE49-F238E27FC236}">
              <a16:creationId xmlns:a16="http://schemas.microsoft.com/office/drawing/2014/main" id="{2E4630F0-5039-44F0-A592-6FA4858D6C04}"/>
            </a:ext>
          </a:extLst>
        </xdr:cNvPr>
        <xdr:cNvPicPr>
          <a:picLocks noChangeAspect="1"/>
        </xdr:cNvPicPr>
      </xdr:nvPicPr>
      <xdr:blipFill>
        <a:blip xmlns:r="http://schemas.openxmlformats.org/officeDocument/2006/relationships" r:embed="rId3"/>
        <a:stretch>
          <a:fillRect/>
        </a:stretch>
      </xdr:blipFill>
      <xdr:spPr>
        <a:xfrm>
          <a:off x="1057835" y="1479176"/>
          <a:ext cx="3444784" cy="2380866"/>
        </a:xfrm>
        <a:prstGeom prst="rect">
          <a:avLst/>
        </a:prstGeom>
      </xdr:spPr>
    </xdr:pic>
    <xdr:clientData/>
  </xdr:twoCellAnchor>
  <xdr:twoCellAnchor editAs="oneCell">
    <xdr:from>
      <xdr:col>7</xdr:col>
      <xdr:colOff>347541</xdr:colOff>
      <xdr:row>5</xdr:row>
      <xdr:rowOff>90287</xdr:rowOff>
    </xdr:from>
    <xdr:to>
      <xdr:col>11</xdr:col>
      <xdr:colOff>128642</xdr:colOff>
      <xdr:row>18</xdr:row>
      <xdr:rowOff>114780</xdr:rowOff>
    </xdr:to>
    <xdr:pic>
      <xdr:nvPicPr>
        <xdr:cNvPr id="15" name="6 Imagen">
          <a:extLst>
            <a:ext uri="{FF2B5EF4-FFF2-40B4-BE49-F238E27FC236}">
              <a16:creationId xmlns:a16="http://schemas.microsoft.com/office/drawing/2014/main" id="{1F4C75BA-433C-4B50-AB86-6262AE455E66}"/>
            </a:ext>
          </a:extLst>
        </xdr:cNvPr>
        <xdr:cNvPicPr>
          <a:picLocks noChangeAspect="1"/>
        </xdr:cNvPicPr>
      </xdr:nvPicPr>
      <xdr:blipFill>
        <a:blip xmlns:r="http://schemas.openxmlformats.org/officeDocument/2006/relationships" r:embed="rId4"/>
        <a:stretch>
          <a:fillRect/>
        </a:stretch>
      </xdr:blipFill>
      <xdr:spPr>
        <a:xfrm>
          <a:off x="5349847" y="1515675"/>
          <a:ext cx="3429736" cy="2373246"/>
        </a:xfrm>
        <a:prstGeom prst="rect">
          <a:avLst/>
        </a:prstGeom>
      </xdr:spPr>
    </xdr:pic>
    <xdr:clientData/>
  </xdr:twoCellAnchor>
  <xdr:twoCellAnchor editAs="oneCell">
    <xdr:from>
      <xdr:col>1</xdr:col>
      <xdr:colOff>600636</xdr:colOff>
      <xdr:row>21</xdr:row>
      <xdr:rowOff>62753</xdr:rowOff>
    </xdr:from>
    <xdr:to>
      <xdr:col>5</xdr:col>
      <xdr:colOff>889843</xdr:colOff>
      <xdr:row>34</xdr:row>
      <xdr:rowOff>94866</xdr:rowOff>
    </xdr:to>
    <xdr:pic>
      <xdr:nvPicPr>
        <xdr:cNvPr id="20" name="8 Imagen">
          <a:extLst>
            <a:ext uri="{FF2B5EF4-FFF2-40B4-BE49-F238E27FC236}">
              <a16:creationId xmlns:a16="http://schemas.microsoft.com/office/drawing/2014/main" id="{7138B3A5-BFA9-4F61-BB42-EE3E9A5B803B}"/>
            </a:ext>
          </a:extLst>
        </xdr:cNvPr>
        <xdr:cNvPicPr>
          <a:picLocks noChangeAspect="1"/>
        </xdr:cNvPicPr>
      </xdr:nvPicPr>
      <xdr:blipFill>
        <a:blip xmlns:r="http://schemas.openxmlformats.org/officeDocument/2006/relationships" r:embed="rId5"/>
        <a:stretch>
          <a:fillRect/>
        </a:stretch>
      </xdr:blipFill>
      <xdr:spPr>
        <a:xfrm>
          <a:off x="1075765" y="4598894"/>
          <a:ext cx="3444784" cy="2380866"/>
        </a:xfrm>
        <a:prstGeom prst="rect">
          <a:avLst/>
        </a:prstGeom>
      </xdr:spPr>
    </xdr:pic>
    <xdr:clientData/>
  </xdr:twoCellAnchor>
  <xdr:twoCellAnchor editAs="oneCell">
    <xdr:from>
      <xdr:col>7</xdr:col>
      <xdr:colOff>361629</xdr:colOff>
      <xdr:row>21</xdr:row>
      <xdr:rowOff>76680</xdr:rowOff>
    </xdr:from>
    <xdr:to>
      <xdr:col>11</xdr:col>
      <xdr:colOff>138248</xdr:colOff>
      <xdr:row>34</xdr:row>
      <xdr:rowOff>108793</xdr:rowOff>
    </xdr:to>
    <xdr:pic>
      <xdr:nvPicPr>
        <xdr:cNvPr id="21" name="11 Imagen">
          <a:extLst>
            <a:ext uri="{FF2B5EF4-FFF2-40B4-BE49-F238E27FC236}">
              <a16:creationId xmlns:a16="http://schemas.microsoft.com/office/drawing/2014/main" id="{1DF1398E-DFB9-45F6-853C-9C9688635F42}"/>
            </a:ext>
          </a:extLst>
        </xdr:cNvPr>
        <xdr:cNvPicPr>
          <a:picLocks noChangeAspect="1"/>
        </xdr:cNvPicPr>
      </xdr:nvPicPr>
      <xdr:blipFill>
        <a:blip xmlns:r="http://schemas.openxmlformats.org/officeDocument/2006/relationships" r:embed="rId6"/>
        <a:stretch>
          <a:fillRect/>
        </a:stretch>
      </xdr:blipFill>
      <xdr:spPr>
        <a:xfrm>
          <a:off x="5363935" y="4612821"/>
          <a:ext cx="3425254" cy="2380866"/>
        </a:xfrm>
        <a:prstGeom prst="rect">
          <a:avLst/>
        </a:prstGeom>
      </xdr:spPr>
    </xdr:pic>
    <xdr:clientData/>
  </xdr:twoCellAnchor>
  <xdr:twoCellAnchor editAs="oneCell">
    <xdr:from>
      <xdr:col>1</xdr:col>
      <xdr:colOff>591671</xdr:colOff>
      <xdr:row>37</xdr:row>
      <xdr:rowOff>52871</xdr:rowOff>
    </xdr:from>
    <xdr:to>
      <xdr:col>5</xdr:col>
      <xdr:colOff>894090</xdr:colOff>
      <xdr:row>50</xdr:row>
      <xdr:rowOff>97861</xdr:rowOff>
    </xdr:to>
    <xdr:pic>
      <xdr:nvPicPr>
        <xdr:cNvPr id="22" name="Imagen 21">
          <a:extLst>
            <a:ext uri="{FF2B5EF4-FFF2-40B4-BE49-F238E27FC236}">
              <a16:creationId xmlns:a16="http://schemas.microsoft.com/office/drawing/2014/main" id="{223B01E9-B230-4C70-A2E2-6217B26D8BC0}"/>
            </a:ext>
          </a:extLst>
        </xdr:cNvPr>
        <xdr:cNvPicPr>
          <a:picLocks noChangeAspect="1"/>
        </xdr:cNvPicPr>
      </xdr:nvPicPr>
      <xdr:blipFill>
        <a:blip xmlns:r="http://schemas.openxmlformats.org/officeDocument/2006/relationships" r:embed="rId7"/>
        <a:stretch>
          <a:fillRect/>
        </a:stretch>
      </xdr:blipFill>
      <xdr:spPr>
        <a:xfrm>
          <a:off x="1066800" y="7708730"/>
          <a:ext cx="3457996" cy="2375813"/>
        </a:xfrm>
        <a:prstGeom prst="rect">
          <a:avLst/>
        </a:prstGeom>
      </xdr:spPr>
    </xdr:pic>
    <xdr:clientData/>
  </xdr:twoCellAnchor>
  <xdr:twoCellAnchor editAs="oneCell">
    <xdr:from>
      <xdr:col>7</xdr:col>
      <xdr:colOff>354820</xdr:colOff>
      <xdr:row>37</xdr:row>
      <xdr:rowOff>35859</xdr:rowOff>
    </xdr:from>
    <xdr:to>
      <xdr:col>11</xdr:col>
      <xdr:colOff>191856</xdr:colOff>
      <xdr:row>50</xdr:row>
      <xdr:rowOff>88469</xdr:rowOff>
    </xdr:to>
    <xdr:pic>
      <xdr:nvPicPr>
        <xdr:cNvPr id="23" name="Imagen 22">
          <a:extLst>
            <a:ext uri="{FF2B5EF4-FFF2-40B4-BE49-F238E27FC236}">
              <a16:creationId xmlns:a16="http://schemas.microsoft.com/office/drawing/2014/main" id="{0875DF7A-8DBA-4D32-A14A-349C9B72655E}"/>
            </a:ext>
          </a:extLst>
        </xdr:cNvPr>
        <xdr:cNvPicPr>
          <a:picLocks noChangeAspect="1"/>
        </xdr:cNvPicPr>
      </xdr:nvPicPr>
      <xdr:blipFill>
        <a:blip xmlns:r="http://schemas.openxmlformats.org/officeDocument/2006/relationships" r:embed="rId8"/>
        <a:stretch>
          <a:fillRect/>
        </a:stretch>
      </xdr:blipFill>
      <xdr:spPr>
        <a:xfrm>
          <a:off x="5357126" y="7691718"/>
          <a:ext cx="3485671" cy="238343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506767F9-4EB1-4302-818E-76BA2C19B2AF}"/>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759B1485-EDCF-48B3-8594-E8EA20D9CBAA}"/>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oneCellAnchor>
    <xdr:from>
      <xdr:col>1</xdr:col>
      <xdr:colOff>90311</xdr:colOff>
      <xdr:row>6</xdr:row>
      <xdr:rowOff>49095</xdr:rowOff>
    </xdr:from>
    <xdr:ext cx="3595863" cy="2495985"/>
    <xdr:pic>
      <xdr:nvPicPr>
        <xdr:cNvPr id="4" name="Imagen 3">
          <a:extLst>
            <a:ext uri="{FF2B5EF4-FFF2-40B4-BE49-F238E27FC236}">
              <a16:creationId xmlns:a16="http://schemas.microsoft.com/office/drawing/2014/main" id="{445451EA-A469-4281-83C7-4437A03A9D8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57011" y="1786455"/>
          <a:ext cx="3595863" cy="2495985"/>
        </a:xfrm>
        <a:prstGeom prst="rect">
          <a:avLst/>
        </a:prstGeom>
      </xdr:spPr>
    </xdr:pic>
    <xdr:clientData/>
  </xdr:oneCellAnchor>
  <xdr:oneCellAnchor>
    <xdr:from>
      <xdr:col>1</xdr:col>
      <xdr:colOff>66573</xdr:colOff>
      <xdr:row>39</xdr:row>
      <xdr:rowOff>71213</xdr:rowOff>
    </xdr:from>
    <xdr:ext cx="3610077" cy="2435768"/>
    <xdr:pic>
      <xdr:nvPicPr>
        <xdr:cNvPr id="5" name="Imagen 4">
          <a:extLst>
            <a:ext uri="{FF2B5EF4-FFF2-40B4-BE49-F238E27FC236}">
              <a16:creationId xmlns:a16="http://schemas.microsoft.com/office/drawing/2014/main" id="{982C1EB0-A8C4-431B-96A0-D21579266F18}"/>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33273" y="8597993"/>
          <a:ext cx="3610077" cy="2435768"/>
        </a:xfrm>
        <a:prstGeom prst="rect">
          <a:avLst/>
        </a:prstGeom>
      </xdr:spPr>
    </xdr:pic>
    <xdr:clientData/>
  </xdr:oneCellAnchor>
  <xdr:oneCellAnchor>
    <xdr:from>
      <xdr:col>7</xdr:col>
      <xdr:colOff>92932</xdr:colOff>
      <xdr:row>39</xdr:row>
      <xdr:rowOff>76201</xdr:rowOff>
    </xdr:from>
    <xdr:ext cx="4479068" cy="2453639"/>
    <xdr:pic>
      <xdr:nvPicPr>
        <xdr:cNvPr id="6" name="Imagen 5">
          <a:extLst>
            <a:ext uri="{FF2B5EF4-FFF2-40B4-BE49-F238E27FC236}">
              <a16:creationId xmlns:a16="http://schemas.microsoft.com/office/drawing/2014/main" id="{418A79A1-05F5-43F0-B198-BFF217094BAB}"/>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t="12734"/>
        <a:stretch/>
      </xdr:blipFill>
      <xdr:spPr>
        <a:xfrm>
          <a:off x="4238212" y="8602981"/>
          <a:ext cx="4479068" cy="2453639"/>
        </a:xfrm>
        <a:prstGeom prst="rect">
          <a:avLst/>
        </a:prstGeom>
      </xdr:spPr>
    </xdr:pic>
    <xdr:clientData/>
  </xdr:oneCellAnchor>
  <xdr:oneCellAnchor>
    <xdr:from>
      <xdr:col>7</xdr:col>
      <xdr:colOff>116286</xdr:colOff>
      <xdr:row>22</xdr:row>
      <xdr:rowOff>66677</xdr:rowOff>
    </xdr:from>
    <xdr:ext cx="4474764" cy="2455543"/>
    <xdr:pic>
      <xdr:nvPicPr>
        <xdr:cNvPr id="7" name="Imagen 6">
          <a:extLst>
            <a:ext uri="{FF2B5EF4-FFF2-40B4-BE49-F238E27FC236}">
              <a16:creationId xmlns:a16="http://schemas.microsoft.com/office/drawing/2014/main" id="{E12F8279-8DDB-4414-B408-893B819E5B0F}"/>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261566" y="5050157"/>
          <a:ext cx="4474764" cy="2455543"/>
        </a:xfrm>
        <a:prstGeom prst="rect">
          <a:avLst/>
        </a:prstGeom>
      </xdr:spPr>
    </xdr:pic>
    <xdr:clientData/>
  </xdr:oneCellAnchor>
  <xdr:oneCellAnchor>
    <xdr:from>
      <xdr:col>7</xdr:col>
      <xdr:colOff>117748</xdr:colOff>
      <xdr:row>6</xdr:row>
      <xdr:rowOff>65489</xdr:rowOff>
    </xdr:from>
    <xdr:ext cx="4444727" cy="2471971"/>
    <xdr:pic>
      <xdr:nvPicPr>
        <xdr:cNvPr id="8" name="Imagen 7">
          <a:extLst>
            <a:ext uri="{FF2B5EF4-FFF2-40B4-BE49-F238E27FC236}">
              <a16:creationId xmlns:a16="http://schemas.microsoft.com/office/drawing/2014/main" id="{9CA7B241-D69D-4A00-83C6-D70A5109E915}"/>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263028" y="1802849"/>
          <a:ext cx="4444727" cy="2471971"/>
        </a:xfrm>
        <a:prstGeom prst="rect">
          <a:avLst/>
        </a:prstGeom>
      </xdr:spPr>
    </xdr:pic>
    <xdr:clientData/>
  </xdr:oneCellAnchor>
  <xdr:twoCellAnchor editAs="oneCell">
    <xdr:from>
      <xdr:col>1</xdr:col>
      <xdr:colOff>118257</xdr:colOff>
      <xdr:row>22</xdr:row>
      <xdr:rowOff>63106</xdr:rowOff>
    </xdr:from>
    <xdr:to>
      <xdr:col>6</xdr:col>
      <xdr:colOff>581025</xdr:colOff>
      <xdr:row>35</xdr:row>
      <xdr:rowOff>142875</xdr:rowOff>
    </xdr:to>
    <xdr:pic>
      <xdr:nvPicPr>
        <xdr:cNvPr id="9" name="Imagen 8">
          <a:extLst>
            <a:ext uri="{FF2B5EF4-FFF2-40B4-BE49-F238E27FC236}">
              <a16:creationId xmlns:a16="http://schemas.microsoft.com/office/drawing/2014/main" id="{9ED53BB9-B240-43EF-A4EE-11C492A6317F}"/>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b="13289"/>
        <a:stretch/>
      </xdr:blipFill>
      <xdr:spPr>
        <a:xfrm>
          <a:off x="384957" y="5046586"/>
          <a:ext cx="3655548" cy="2472449"/>
        </a:xfrm>
        <a:prstGeom prst="rect">
          <a:avLst/>
        </a:prstGeom>
      </xdr:spPr>
    </xdr:pic>
    <xdr:clientData/>
  </xdr:twoCellAnchor>
  <xdr:twoCellAnchor editAs="oneCell">
    <xdr:from>
      <xdr:col>8</xdr:col>
      <xdr:colOff>347418</xdr:colOff>
      <xdr:row>88</xdr:row>
      <xdr:rowOff>38104</xdr:rowOff>
    </xdr:from>
    <xdr:to>
      <xdr:col>10</xdr:col>
      <xdr:colOff>412722</xdr:colOff>
      <xdr:row>101</xdr:row>
      <xdr:rowOff>152403</xdr:rowOff>
    </xdr:to>
    <xdr:pic>
      <xdr:nvPicPr>
        <xdr:cNvPr id="10" name="Imagen 9">
          <a:extLst>
            <a:ext uri="{FF2B5EF4-FFF2-40B4-BE49-F238E27FC236}">
              <a16:creationId xmlns:a16="http://schemas.microsoft.com/office/drawing/2014/main" id="{C6CDBC92-B9D9-4CB5-91BB-F58D2A1563B4}"/>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23100"/>
        <a:stretch/>
      </xdr:blipFill>
      <xdr:spPr>
        <a:xfrm rot="5400000">
          <a:off x="5173050" y="18461092"/>
          <a:ext cx="2491739" cy="2618004"/>
        </a:xfrm>
        <a:prstGeom prst="rect">
          <a:avLst/>
        </a:prstGeom>
      </xdr:spPr>
    </xdr:pic>
    <xdr:clientData/>
  </xdr:twoCellAnchor>
  <xdr:twoCellAnchor editAs="oneCell">
    <xdr:from>
      <xdr:col>1</xdr:col>
      <xdr:colOff>77092</xdr:colOff>
      <xdr:row>72</xdr:row>
      <xdr:rowOff>67120</xdr:rowOff>
    </xdr:from>
    <xdr:to>
      <xdr:col>6</xdr:col>
      <xdr:colOff>581025</xdr:colOff>
      <xdr:row>85</xdr:row>
      <xdr:rowOff>114299</xdr:rowOff>
    </xdr:to>
    <xdr:pic>
      <xdr:nvPicPr>
        <xdr:cNvPr id="11" name="Imagen 10">
          <a:extLst>
            <a:ext uri="{FF2B5EF4-FFF2-40B4-BE49-F238E27FC236}">
              <a16:creationId xmlns:a16="http://schemas.microsoft.com/office/drawing/2014/main" id="{5554FC0E-C904-4396-A682-974E0C8B2882}"/>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43792" y="15413800"/>
          <a:ext cx="3696713" cy="2424619"/>
        </a:xfrm>
        <a:prstGeom prst="rect">
          <a:avLst/>
        </a:prstGeom>
      </xdr:spPr>
    </xdr:pic>
    <xdr:clientData/>
  </xdr:twoCellAnchor>
  <xdr:twoCellAnchor editAs="oneCell">
    <xdr:from>
      <xdr:col>1</xdr:col>
      <xdr:colOff>73519</xdr:colOff>
      <xdr:row>88</xdr:row>
      <xdr:rowOff>85725</xdr:rowOff>
    </xdr:from>
    <xdr:to>
      <xdr:col>6</xdr:col>
      <xdr:colOff>600075</xdr:colOff>
      <xdr:row>101</xdr:row>
      <xdr:rowOff>125844</xdr:rowOff>
    </xdr:to>
    <xdr:pic>
      <xdr:nvPicPr>
        <xdr:cNvPr id="12" name="Imagen 11">
          <a:extLst>
            <a:ext uri="{FF2B5EF4-FFF2-40B4-BE49-F238E27FC236}">
              <a16:creationId xmlns:a16="http://schemas.microsoft.com/office/drawing/2014/main" id="{4F9A2DAD-70F0-4A05-B41E-4E01C5AD6FFC}"/>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340219" y="18571845"/>
          <a:ext cx="3719336" cy="2417559"/>
        </a:xfrm>
        <a:prstGeom prst="rect">
          <a:avLst/>
        </a:prstGeom>
      </xdr:spPr>
    </xdr:pic>
    <xdr:clientData/>
  </xdr:twoCellAnchor>
  <xdr:twoCellAnchor editAs="oneCell">
    <xdr:from>
      <xdr:col>7</xdr:col>
      <xdr:colOff>101848</xdr:colOff>
      <xdr:row>55</xdr:row>
      <xdr:rowOff>85726</xdr:rowOff>
    </xdr:from>
    <xdr:to>
      <xdr:col>11</xdr:col>
      <xdr:colOff>581025</xdr:colOff>
      <xdr:row>68</xdr:row>
      <xdr:rowOff>129226</xdr:rowOff>
    </xdr:to>
    <xdr:pic>
      <xdr:nvPicPr>
        <xdr:cNvPr id="13" name="Imagen 12">
          <a:extLst>
            <a:ext uri="{FF2B5EF4-FFF2-40B4-BE49-F238E27FC236}">
              <a16:creationId xmlns:a16="http://schemas.microsoft.com/office/drawing/2014/main" id="{609E67E9-2E6D-4EA1-86FC-CAF99201AA31}"/>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247128" y="11828146"/>
          <a:ext cx="4616837" cy="2520000"/>
        </a:xfrm>
        <a:prstGeom prst="rect">
          <a:avLst/>
        </a:prstGeom>
      </xdr:spPr>
    </xdr:pic>
    <xdr:clientData/>
  </xdr:twoCellAnchor>
  <xdr:twoCellAnchor editAs="oneCell">
    <xdr:from>
      <xdr:col>7</xdr:col>
      <xdr:colOff>85725</xdr:colOff>
      <xdr:row>72</xdr:row>
      <xdr:rowOff>85725</xdr:rowOff>
    </xdr:from>
    <xdr:to>
      <xdr:col>11</xdr:col>
      <xdr:colOff>561975</xdr:colOff>
      <xdr:row>85</xdr:row>
      <xdr:rowOff>121920</xdr:rowOff>
    </xdr:to>
    <xdr:pic>
      <xdr:nvPicPr>
        <xdr:cNvPr id="14" name="Imagen 13">
          <a:extLst>
            <a:ext uri="{FF2B5EF4-FFF2-40B4-BE49-F238E27FC236}">
              <a16:creationId xmlns:a16="http://schemas.microsoft.com/office/drawing/2014/main" id="{CF2AB22C-DBE9-4D9A-9448-F18774B6DF4E}"/>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231005" y="15432405"/>
          <a:ext cx="4613910" cy="2413635"/>
        </a:xfrm>
        <a:prstGeom prst="rect">
          <a:avLst/>
        </a:prstGeom>
      </xdr:spPr>
    </xdr:pic>
    <xdr:clientData/>
  </xdr:twoCellAnchor>
  <xdr:twoCellAnchor editAs="oneCell">
    <xdr:from>
      <xdr:col>1</xdr:col>
      <xdr:colOff>80112</xdr:colOff>
      <xdr:row>55</xdr:row>
      <xdr:rowOff>66675</xdr:rowOff>
    </xdr:from>
    <xdr:to>
      <xdr:col>6</xdr:col>
      <xdr:colOff>590549</xdr:colOff>
      <xdr:row>68</xdr:row>
      <xdr:rowOff>110175</xdr:rowOff>
    </xdr:to>
    <xdr:pic>
      <xdr:nvPicPr>
        <xdr:cNvPr id="15" name="Imagen 14">
          <a:extLst>
            <a:ext uri="{FF2B5EF4-FFF2-40B4-BE49-F238E27FC236}">
              <a16:creationId xmlns:a16="http://schemas.microsoft.com/office/drawing/2014/main" id="{009A0973-1F62-411F-ABC1-08FCFB4DC825}"/>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346812" y="11809095"/>
          <a:ext cx="3703217" cy="2520000"/>
        </a:xfrm>
        <a:prstGeom prst="rect">
          <a:avLst/>
        </a:prstGeom>
      </xdr:spPr>
    </xdr:pic>
    <xdr:clientData/>
  </xdr:twoCellAnchor>
  <xdr:twoCellAnchor>
    <xdr:from>
      <xdr:col>8</xdr:col>
      <xdr:colOff>1310388</xdr:colOff>
      <xdr:row>42</xdr:row>
      <xdr:rowOff>142405</xdr:rowOff>
    </xdr:from>
    <xdr:to>
      <xdr:col>8</xdr:col>
      <xdr:colOff>1539403</xdr:colOff>
      <xdr:row>44</xdr:row>
      <xdr:rowOff>97811</xdr:rowOff>
    </xdr:to>
    <xdr:sp macro="" textlink="">
      <xdr:nvSpPr>
        <xdr:cNvPr id="16" name="Flecha derecha 5">
          <a:extLst>
            <a:ext uri="{FF2B5EF4-FFF2-40B4-BE49-F238E27FC236}">
              <a16:creationId xmlns:a16="http://schemas.microsoft.com/office/drawing/2014/main" id="{68104ABF-FBD9-4A0D-9369-7955DF245612}"/>
            </a:ext>
          </a:extLst>
        </xdr:cNvPr>
        <xdr:cNvSpPr/>
      </xdr:nvSpPr>
      <xdr:spPr>
        <a:xfrm rot="8031232">
          <a:off x="6026813" y="9263900"/>
          <a:ext cx="321166" cy="229015"/>
        </a:xfrm>
        <a:prstGeom prst="rightArrow">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1A91EE3E-E56D-4E3E-8DA5-6F53A5AB06D2}"/>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91919F24-FC6C-4726-8DD0-6B815C80F011}"/>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twoCellAnchor editAs="oneCell">
    <xdr:from>
      <xdr:col>2</xdr:col>
      <xdr:colOff>66675</xdr:colOff>
      <xdr:row>5</xdr:row>
      <xdr:rowOff>85725</xdr:rowOff>
    </xdr:from>
    <xdr:to>
      <xdr:col>6</xdr:col>
      <xdr:colOff>304800</xdr:colOff>
      <xdr:row>18</xdr:row>
      <xdr:rowOff>114300</xdr:rowOff>
    </xdr:to>
    <xdr:pic>
      <xdr:nvPicPr>
        <xdr:cNvPr id="4" name="3 Imagen">
          <a:extLst>
            <a:ext uri="{FF2B5EF4-FFF2-40B4-BE49-F238E27FC236}">
              <a16:creationId xmlns:a16="http://schemas.microsoft.com/office/drawing/2014/main" id="{7063BA0B-8A4D-4A0F-94B3-9ECEA9C8FDE3}"/>
            </a:ext>
          </a:extLst>
        </xdr:cNvPr>
        <xdr:cNvPicPr>
          <a:picLocks noChangeAspect="1"/>
        </xdr:cNvPicPr>
      </xdr:nvPicPr>
      <xdr:blipFill>
        <a:blip xmlns:r="http://schemas.openxmlformats.org/officeDocument/2006/relationships" r:embed="rId3"/>
        <a:stretch>
          <a:fillRect/>
        </a:stretch>
      </xdr:blipFill>
      <xdr:spPr>
        <a:xfrm>
          <a:off x="668655" y="1510665"/>
          <a:ext cx="3438525" cy="2421255"/>
        </a:xfrm>
        <a:prstGeom prst="rect">
          <a:avLst/>
        </a:prstGeom>
      </xdr:spPr>
    </xdr:pic>
    <xdr:clientData/>
  </xdr:twoCellAnchor>
  <xdr:twoCellAnchor editAs="oneCell">
    <xdr:from>
      <xdr:col>7</xdr:col>
      <xdr:colOff>238125</xdr:colOff>
      <xdr:row>5</xdr:row>
      <xdr:rowOff>38100</xdr:rowOff>
    </xdr:from>
    <xdr:to>
      <xdr:col>10</xdr:col>
      <xdr:colOff>723900</xdr:colOff>
      <xdr:row>18</xdr:row>
      <xdr:rowOff>66675</xdr:rowOff>
    </xdr:to>
    <xdr:pic>
      <xdr:nvPicPr>
        <xdr:cNvPr id="5" name="4 Imagen">
          <a:extLst>
            <a:ext uri="{FF2B5EF4-FFF2-40B4-BE49-F238E27FC236}">
              <a16:creationId xmlns:a16="http://schemas.microsoft.com/office/drawing/2014/main" id="{2194C50B-6186-448A-B519-1D516DEAFFC7}"/>
            </a:ext>
          </a:extLst>
        </xdr:cNvPr>
        <xdr:cNvPicPr>
          <a:picLocks noChangeAspect="1"/>
        </xdr:cNvPicPr>
      </xdr:nvPicPr>
      <xdr:blipFill>
        <a:blip xmlns:r="http://schemas.openxmlformats.org/officeDocument/2006/relationships" r:embed="rId4"/>
        <a:stretch>
          <a:fillRect/>
        </a:stretch>
      </xdr:blipFill>
      <xdr:spPr>
        <a:xfrm>
          <a:off x="4726305" y="1463040"/>
          <a:ext cx="3427095" cy="2421255"/>
        </a:xfrm>
        <a:prstGeom prst="rect">
          <a:avLst/>
        </a:prstGeom>
      </xdr:spPr>
    </xdr:pic>
    <xdr:clientData/>
  </xdr:twoCellAnchor>
  <xdr:twoCellAnchor editAs="oneCell">
    <xdr:from>
      <xdr:col>2</xdr:col>
      <xdr:colOff>171450</xdr:colOff>
      <xdr:row>21</xdr:row>
      <xdr:rowOff>66675</xdr:rowOff>
    </xdr:from>
    <xdr:to>
      <xdr:col>6</xdr:col>
      <xdr:colOff>409575</xdr:colOff>
      <xdr:row>34</xdr:row>
      <xdr:rowOff>95250</xdr:rowOff>
    </xdr:to>
    <xdr:pic>
      <xdr:nvPicPr>
        <xdr:cNvPr id="6" name="6 Imagen">
          <a:extLst>
            <a:ext uri="{FF2B5EF4-FFF2-40B4-BE49-F238E27FC236}">
              <a16:creationId xmlns:a16="http://schemas.microsoft.com/office/drawing/2014/main" id="{13F219EC-39AF-4F74-9A5C-357818F7CB8C}"/>
            </a:ext>
          </a:extLst>
        </xdr:cNvPr>
        <xdr:cNvPicPr>
          <a:picLocks noChangeAspect="1"/>
        </xdr:cNvPicPr>
      </xdr:nvPicPr>
      <xdr:blipFill>
        <a:blip xmlns:r="http://schemas.openxmlformats.org/officeDocument/2006/relationships" r:embed="rId5"/>
        <a:stretch>
          <a:fillRect/>
        </a:stretch>
      </xdr:blipFill>
      <xdr:spPr>
        <a:xfrm>
          <a:off x="773430" y="4684395"/>
          <a:ext cx="3438525" cy="2421255"/>
        </a:xfrm>
        <a:prstGeom prst="rect">
          <a:avLst/>
        </a:prstGeom>
      </xdr:spPr>
    </xdr:pic>
    <xdr:clientData/>
  </xdr:twoCellAnchor>
  <xdr:twoCellAnchor editAs="oneCell">
    <xdr:from>
      <xdr:col>8</xdr:col>
      <xdr:colOff>95250</xdr:colOff>
      <xdr:row>21</xdr:row>
      <xdr:rowOff>66675</xdr:rowOff>
    </xdr:from>
    <xdr:to>
      <xdr:col>11</xdr:col>
      <xdr:colOff>19050</xdr:colOff>
      <xdr:row>34</xdr:row>
      <xdr:rowOff>95250</xdr:rowOff>
    </xdr:to>
    <xdr:pic>
      <xdr:nvPicPr>
        <xdr:cNvPr id="7" name="7 Imagen">
          <a:extLst>
            <a:ext uri="{FF2B5EF4-FFF2-40B4-BE49-F238E27FC236}">
              <a16:creationId xmlns:a16="http://schemas.microsoft.com/office/drawing/2014/main" id="{F53EBB75-E27C-430C-9EE4-14AAF1C1A752}"/>
            </a:ext>
          </a:extLst>
        </xdr:cNvPr>
        <xdr:cNvPicPr>
          <a:picLocks noChangeAspect="1"/>
        </xdr:cNvPicPr>
      </xdr:nvPicPr>
      <xdr:blipFill>
        <a:blip xmlns:r="http://schemas.openxmlformats.org/officeDocument/2006/relationships" r:embed="rId6"/>
        <a:stretch>
          <a:fillRect/>
        </a:stretch>
      </xdr:blipFill>
      <xdr:spPr>
        <a:xfrm>
          <a:off x="4972050" y="4684395"/>
          <a:ext cx="3444240" cy="2421255"/>
        </a:xfrm>
        <a:prstGeom prst="rect">
          <a:avLst/>
        </a:prstGeom>
      </xdr:spPr>
    </xdr:pic>
    <xdr:clientData/>
  </xdr:twoCellAnchor>
  <xdr:twoCellAnchor editAs="oneCell">
    <xdr:from>
      <xdr:col>2</xdr:col>
      <xdr:colOff>123825</xdr:colOff>
      <xdr:row>37</xdr:row>
      <xdr:rowOff>28575</xdr:rowOff>
    </xdr:from>
    <xdr:to>
      <xdr:col>6</xdr:col>
      <xdr:colOff>361950</xdr:colOff>
      <xdr:row>50</xdr:row>
      <xdr:rowOff>57150</xdr:rowOff>
    </xdr:to>
    <xdr:pic>
      <xdr:nvPicPr>
        <xdr:cNvPr id="8" name="8 Imagen">
          <a:extLst>
            <a:ext uri="{FF2B5EF4-FFF2-40B4-BE49-F238E27FC236}">
              <a16:creationId xmlns:a16="http://schemas.microsoft.com/office/drawing/2014/main" id="{7037ED21-1F78-49A0-BAE0-CA210066702B}"/>
            </a:ext>
          </a:extLst>
        </xdr:cNvPr>
        <xdr:cNvPicPr>
          <a:picLocks noChangeAspect="1"/>
        </xdr:cNvPicPr>
      </xdr:nvPicPr>
      <xdr:blipFill>
        <a:blip xmlns:r="http://schemas.openxmlformats.org/officeDocument/2006/relationships" r:embed="rId7"/>
        <a:stretch>
          <a:fillRect/>
        </a:stretch>
      </xdr:blipFill>
      <xdr:spPr>
        <a:xfrm>
          <a:off x="725805" y="7839075"/>
          <a:ext cx="3438525" cy="2421255"/>
        </a:xfrm>
        <a:prstGeom prst="rect">
          <a:avLst/>
        </a:prstGeom>
      </xdr:spPr>
    </xdr:pic>
    <xdr:clientData/>
  </xdr:twoCellAnchor>
  <xdr:twoCellAnchor editAs="oneCell">
    <xdr:from>
      <xdr:col>7</xdr:col>
      <xdr:colOff>371475</xdr:colOff>
      <xdr:row>37</xdr:row>
      <xdr:rowOff>95250</xdr:rowOff>
    </xdr:from>
    <xdr:to>
      <xdr:col>10</xdr:col>
      <xdr:colOff>857250</xdr:colOff>
      <xdr:row>50</xdr:row>
      <xdr:rowOff>131445</xdr:rowOff>
    </xdr:to>
    <xdr:pic>
      <xdr:nvPicPr>
        <xdr:cNvPr id="9" name="10 Imagen">
          <a:extLst>
            <a:ext uri="{FF2B5EF4-FFF2-40B4-BE49-F238E27FC236}">
              <a16:creationId xmlns:a16="http://schemas.microsoft.com/office/drawing/2014/main" id="{2778DBAE-4C98-4508-A947-82B0AEA71E5F}"/>
            </a:ext>
          </a:extLst>
        </xdr:cNvPr>
        <xdr:cNvPicPr>
          <a:picLocks noChangeAspect="1"/>
        </xdr:cNvPicPr>
      </xdr:nvPicPr>
      <xdr:blipFill>
        <a:blip xmlns:r="http://schemas.openxmlformats.org/officeDocument/2006/relationships" r:embed="rId8"/>
        <a:stretch>
          <a:fillRect/>
        </a:stretch>
      </xdr:blipFill>
      <xdr:spPr>
        <a:xfrm>
          <a:off x="4859655" y="7905750"/>
          <a:ext cx="3427095" cy="2428875"/>
        </a:xfrm>
        <a:prstGeom prst="rect">
          <a:avLst/>
        </a:prstGeom>
      </xdr:spPr>
    </xdr:pic>
    <xdr:clientData/>
  </xdr:twoCellAnchor>
  <xdr:twoCellAnchor editAs="oneCell">
    <xdr:from>
      <xdr:col>2</xdr:col>
      <xdr:colOff>85725</xdr:colOff>
      <xdr:row>53</xdr:row>
      <xdr:rowOff>66675</xdr:rowOff>
    </xdr:from>
    <xdr:to>
      <xdr:col>6</xdr:col>
      <xdr:colOff>331470</xdr:colOff>
      <xdr:row>66</xdr:row>
      <xdr:rowOff>102870</xdr:rowOff>
    </xdr:to>
    <xdr:pic>
      <xdr:nvPicPr>
        <xdr:cNvPr id="10" name="14 Imagen">
          <a:extLst>
            <a:ext uri="{FF2B5EF4-FFF2-40B4-BE49-F238E27FC236}">
              <a16:creationId xmlns:a16="http://schemas.microsoft.com/office/drawing/2014/main" id="{05DB5057-2A73-439F-ABD0-C1121C979418}"/>
            </a:ext>
          </a:extLst>
        </xdr:cNvPr>
        <xdr:cNvPicPr>
          <a:picLocks noChangeAspect="1"/>
        </xdr:cNvPicPr>
      </xdr:nvPicPr>
      <xdr:blipFill>
        <a:blip xmlns:r="http://schemas.openxmlformats.org/officeDocument/2006/relationships" r:embed="rId9"/>
        <a:stretch>
          <a:fillRect/>
        </a:stretch>
      </xdr:blipFill>
      <xdr:spPr>
        <a:xfrm>
          <a:off x="687705" y="11069955"/>
          <a:ext cx="3446145" cy="2428875"/>
        </a:xfrm>
        <a:prstGeom prst="rect">
          <a:avLst/>
        </a:prstGeom>
      </xdr:spPr>
    </xdr:pic>
    <xdr:clientData/>
  </xdr:twoCellAnchor>
  <xdr:twoCellAnchor editAs="oneCell">
    <xdr:from>
      <xdr:col>7</xdr:col>
      <xdr:colOff>352425</xdr:colOff>
      <xdr:row>53</xdr:row>
      <xdr:rowOff>95250</xdr:rowOff>
    </xdr:from>
    <xdr:to>
      <xdr:col>10</xdr:col>
      <xdr:colOff>845820</xdr:colOff>
      <xdr:row>66</xdr:row>
      <xdr:rowOff>131445</xdr:rowOff>
    </xdr:to>
    <xdr:pic>
      <xdr:nvPicPr>
        <xdr:cNvPr id="11" name="15 Imagen">
          <a:extLst>
            <a:ext uri="{FF2B5EF4-FFF2-40B4-BE49-F238E27FC236}">
              <a16:creationId xmlns:a16="http://schemas.microsoft.com/office/drawing/2014/main" id="{6E051F54-1DE4-4A48-91CB-9CAC284339A2}"/>
            </a:ext>
          </a:extLst>
        </xdr:cNvPr>
        <xdr:cNvPicPr>
          <a:picLocks noChangeAspect="1"/>
        </xdr:cNvPicPr>
      </xdr:nvPicPr>
      <xdr:blipFill>
        <a:blip xmlns:r="http://schemas.openxmlformats.org/officeDocument/2006/relationships" r:embed="rId10"/>
        <a:stretch>
          <a:fillRect/>
        </a:stretch>
      </xdr:blipFill>
      <xdr:spPr>
        <a:xfrm>
          <a:off x="4840605" y="11098530"/>
          <a:ext cx="3434715" cy="2428875"/>
        </a:xfrm>
        <a:prstGeom prst="rect">
          <a:avLst/>
        </a:prstGeom>
      </xdr:spPr>
    </xdr:pic>
    <xdr:clientData/>
  </xdr:twoCellAnchor>
  <xdr:twoCellAnchor editAs="oneCell">
    <xdr:from>
      <xdr:col>2</xdr:col>
      <xdr:colOff>114300</xdr:colOff>
      <xdr:row>69</xdr:row>
      <xdr:rowOff>85725</xdr:rowOff>
    </xdr:from>
    <xdr:to>
      <xdr:col>6</xdr:col>
      <xdr:colOff>360045</xdr:colOff>
      <xdr:row>82</xdr:row>
      <xdr:rowOff>114300</xdr:rowOff>
    </xdr:to>
    <xdr:pic>
      <xdr:nvPicPr>
        <xdr:cNvPr id="12" name="17 Imagen">
          <a:extLst>
            <a:ext uri="{FF2B5EF4-FFF2-40B4-BE49-F238E27FC236}">
              <a16:creationId xmlns:a16="http://schemas.microsoft.com/office/drawing/2014/main" id="{5130BE30-7CD8-4BEE-988E-98B8288D7F6C}"/>
            </a:ext>
          </a:extLst>
        </xdr:cNvPr>
        <xdr:cNvPicPr>
          <a:picLocks noChangeAspect="1"/>
        </xdr:cNvPicPr>
      </xdr:nvPicPr>
      <xdr:blipFill>
        <a:blip xmlns:r="http://schemas.openxmlformats.org/officeDocument/2006/relationships" r:embed="rId11"/>
        <a:stretch>
          <a:fillRect/>
        </a:stretch>
      </xdr:blipFill>
      <xdr:spPr>
        <a:xfrm>
          <a:off x="716280" y="14281785"/>
          <a:ext cx="3446145" cy="2421255"/>
        </a:xfrm>
        <a:prstGeom prst="rect">
          <a:avLst/>
        </a:prstGeom>
      </xdr:spPr>
    </xdr:pic>
    <xdr:clientData/>
  </xdr:twoCellAnchor>
  <xdr:twoCellAnchor editAs="oneCell">
    <xdr:from>
      <xdr:col>7</xdr:col>
      <xdr:colOff>342900</xdr:colOff>
      <xdr:row>69</xdr:row>
      <xdr:rowOff>57150</xdr:rowOff>
    </xdr:from>
    <xdr:to>
      <xdr:col>10</xdr:col>
      <xdr:colOff>828675</xdr:colOff>
      <xdr:row>82</xdr:row>
      <xdr:rowOff>85725</xdr:rowOff>
    </xdr:to>
    <xdr:pic>
      <xdr:nvPicPr>
        <xdr:cNvPr id="13" name="19 Imagen">
          <a:extLst>
            <a:ext uri="{FF2B5EF4-FFF2-40B4-BE49-F238E27FC236}">
              <a16:creationId xmlns:a16="http://schemas.microsoft.com/office/drawing/2014/main" id="{ED30EB2B-7E35-4D66-ABD3-E88BC8BBE4A7}"/>
            </a:ext>
          </a:extLst>
        </xdr:cNvPr>
        <xdr:cNvPicPr>
          <a:picLocks noChangeAspect="1"/>
        </xdr:cNvPicPr>
      </xdr:nvPicPr>
      <xdr:blipFill>
        <a:blip xmlns:r="http://schemas.openxmlformats.org/officeDocument/2006/relationships" r:embed="rId12"/>
        <a:stretch>
          <a:fillRect/>
        </a:stretch>
      </xdr:blipFill>
      <xdr:spPr>
        <a:xfrm>
          <a:off x="4831080" y="14253210"/>
          <a:ext cx="3427095" cy="2421255"/>
        </a:xfrm>
        <a:prstGeom prst="rect">
          <a:avLst/>
        </a:prstGeom>
      </xdr:spPr>
    </xdr:pic>
    <xdr:clientData/>
  </xdr:twoCellAnchor>
  <xdr:twoCellAnchor editAs="oneCell">
    <xdr:from>
      <xdr:col>2</xdr:col>
      <xdr:colOff>209550</xdr:colOff>
      <xdr:row>85</xdr:row>
      <xdr:rowOff>76200</xdr:rowOff>
    </xdr:from>
    <xdr:to>
      <xdr:col>6</xdr:col>
      <xdr:colOff>455295</xdr:colOff>
      <xdr:row>98</xdr:row>
      <xdr:rowOff>112395</xdr:rowOff>
    </xdr:to>
    <xdr:pic>
      <xdr:nvPicPr>
        <xdr:cNvPr id="14" name="21 Imagen">
          <a:extLst>
            <a:ext uri="{FF2B5EF4-FFF2-40B4-BE49-F238E27FC236}">
              <a16:creationId xmlns:a16="http://schemas.microsoft.com/office/drawing/2014/main" id="{32D593B7-53E7-4976-AC00-D41ACFC2409D}"/>
            </a:ext>
          </a:extLst>
        </xdr:cNvPr>
        <xdr:cNvPicPr>
          <a:picLocks noChangeAspect="1"/>
        </xdr:cNvPicPr>
      </xdr:nvPicPr>
      <xdr:blipFill>
        <a:blip xmlns:r="http://schemas.openxmlformats.org/officeDocument/2006/relationships" r:embed="rId13"/>
        <a:stretch>
          <a:fillRect/>
        </a:stretch>
      </xdr:blipFill>
      <xdr:spPr>
        <a:xfrm>
          <a:off x="811530" y="17465040"/>
          <a:ext cx="3446145" cy="2428875"/>
        </a:xfrm>
        <a:prstGeom prst="rect">
          <a:avLst/>
        </a:prstGeom>
      </xdr:spPr>
    </xdr:pic>
    <xdr:clientData/>
  </xdr:twoCellAnchor>
  <xdr:twoCellAnchor editAs="oneCell">
    <xdr:from>
      <xdr:col>8</xdr:col>
      <xdr:colOff>57150</xdr:colOff>
      <xdr:row>85</xdr:row>
      <xdr:rowOff>66675</xdr:rowOff>
    </xdr:from>
    <xdr:to>
      <xdr:col>10</xdr:col>
      <xdr:colOff>923925</xdr:colOff>
      <xdr:row>98</xdr:row>
      <xdr:rowOff>95250</xdr:rowOff>
    </xdr:to>
    <xdr:pic>
      <xdr:nvPicPr>
        <xdr:cNvPr id="15" name="24 Imagen">
          <a:extLst>
            <a:ext uri="{FF2B5EF4-FFF2-40B4-BE49-F238E27FC236}">
              <a16:creationId xmlns:a16="http://schemas.microsoft.com/office/drawing/2014/main" id="{E6809EB3-2F9E-46B0-B608-1C6A1A8002F3}"/>
            </a:ext>
          </a:extLst>
        </xdr:cNvPr>
        <xdr:cNvPicPr>
          <a:picLocks noChangeAspect="1"/>
        </xdr:cNvPicPr>
      </xdr:nvPicPr>
      <xdr:blipFill>
        <a:blip xmlns:r="http://schemas.openxmlformats.org/officeDocument/2006/relationships" r:embed="rId14"/>
        <a:stretch>
          <a:fillRect/>
        </a:stretch>
      </xdr:blipFill>
      <xdr:spPr>
        <a:xfrm>
          <a:off x="4933950" y="17455515"/>
          <a:ext cx="3419475" cy="2421255"/>
        </a:xfrm>
        <a:prstGeom prst="rect">
          <a:avLst/>
        </a:prstGeom>
      </xdr:spPr>
    </xdr:pic>
    <xdr:clientData/>
  </xdr:twoCellAnchor>
  <xdr:twoCellAnchor editAs="oneCell">
    <xdr:from>
      <xdr:col>2</xdr:col>
      <xdr:colOff>180975</xdr:colOff>
      <xdr:row>101</xdr:row>
      <xdr:rowOff>66675</xdr:rowOff>
    </xdr:from>
    <xdr:to>
      <xdr:col>6</xdr:col>
      <xdr:colOff>358140</xdr:colOff>
      <xdr:row>114</xdr:row>
      <xdr:rowOff>49530</xdr:rowOff>
    </xdr:to>
    <xdr:pic>
      <xdr:nvPicPr>
        <xdr:cNvPr id="16" name="30 Imagen">
          <a:extLst>
            <a:ext uri="{FF2B5EF4-FFF2-40B4-BE49-F238E27FC236}">
              <a16:creationId xmlns:a16="http://schemas.microsoft.com/office/drawing/2014/main" id="{FC8FC511-97F1-4220-B8CB-DE20A8665409}"/>
            </a:ext>
          </a:extLst>
        </xdr:cNvPr>
        <xdr:cNvPicPr>
          <a:picLocks noChangeAspect="1"/>
        </xdr:cNvPicPr>
      </xdr:nvPicPr>
      <xdr:blipFill>
        <a:blip xmlns:r="http://schemas.openxmlformats.org/officeDocument/2006/relationships" r:embed="rId15"/>
        <a:stretch>
          <a:fillRect/>
        </a:stretch>
      </xdr:blipFill>
      <xdr:spPr>
        <a:xfrm>
          <a:off x="782955" y="20648295"/>
          <a:ext cx="3377565" cy="2375535"/>
        </a:xfrm>
        <a:prstGeom prst="rect">
          <a:avLst/>
        </a:prstGeom>
      </xdr:spPr>
    </xdr:pic>
    <xdr:clientData/>
  </xdr:twoCellAnchor>
  <xdr:twoCellAnchor editAs="oneCell">
    <xdr:from>
      <xdr:col>8</xdr:col>
      <xdr:colOff>19050</xdr:colOff>
      <xdr:row>101</xdr:row>
      <xdr:rowOff>85725</xdr:rowOff>
    </xdr:from>
    <xdr:to>
      <xdr:col>10</xdr:col>
      <xdr:colOff>885825</xdr:colOff>
      <xdr:row>114</xdr:row>
      <xdr:rowOff>114300</xdr:rowOff>
    </xdr:to>
    <xdr:pic>
      <xdr:nvPicPr>
        <xdr:cNvPr id="17" name="33 Imagen">
          <a:extLst>
            <a:ext uri="{FF2B5EF4-FFF2-40B4-BE49-F238E27FC236}">
              <a16:creationId xmlns:a16="http://schemas.microsoft.com/office/drawing/2014/main" id="{37D548DC-CA46-4E58-8991-712815F11765}"/>
            </a:ext>
          </a:extLst>
        </xdr:cNvPr>
        <xdr:cNvPicPr>
          <a:picLocks noChangeAspect="1"/>
        </xdr:cNvPicPr>
      </xdr:nvPicPr>
      <xdr:blipFill>
        <a:blip xmlns:r="http://schemas.openxmlformats.org/officeDocument/2006/relationships" r:embed="rId16"/>
        <a:stretch>
          <a:fillRect/>
        </a:stretch>
      </xdr:blipFill>
      <xdr:spPr>
        <a:xfrm>
          <a:off x="4895850" y="20667345"/>
          <a:ext cx="3419475" cy="2421255"/>
        </a:xfrm>
        <a:prstGeom prst="rect">
          <a:avLst/>
        </a:prstGeom>
      </xdr:spPr>
    </xdr:pic>
    <xdr:clientData/>
  </xdr:twoCellAnchor>
  <xdr:twoCellAnchor editAs="oneCell">
    <xdr:from>
      <xdr:col>2</xdr:col>
      <xdr:colOff>123825</xdr:colOff>
      <xdr:row>117</xdr:row>
      <xdr:rowOff>47625</xdr:rowOff>
    </xdr:from>
    <xdr:to>
      <xdr:col>6</xdr:col>
      <xdr:colOff>331470</xdr:colOff>
      <xdr:row>130</xdr:row>
      <xdr:rowOff>53340</xdr:rowOff>
    </xdr:to>
    <xdr:pic>
      <xdr:nvPicPr>
        <xdr:cNvPr id="18" name="38 Imagen">
          <a:extLst>
            <a:ext uri="{FF2B5EF4-FFF2-40B4-BE49-F238E27FC236}">
              <a16:creationId xmlns:a16="http://schemas.microsoft.com/office/drawing/2014/main" id="{E8634C5D-37EB-40ED-AC0B-33C3814200A2}"/>
            </a:ext>
          </a:extLst>
        </xdr:cNvPr>
        <xdr:cNvPicPr>
          <a:picLocks noChangeAspect="1"/>
        </xdr:cNvPicPr>
      </xdr:nvPicPr>
      <xdr:blipFill>
        <a:blip xmlns:r="http://schemas.openxmlformats.org/officeDocument/2006/relationships" r:embed="rId17"/>
        <a:stretch>
          <a:fillRect/>
        </a:stretch>
      </xdr:blipFill>
      <xdr:spPr>
        <a:xfrm>
          <a:off x="725805" y="23776305"/>
          <a:ext cx="3408045" cy="2398395"/>
        </a:xfrm>
        <a:prstGeom prst="rect">
          <a:avLst/>
        </a:prstGeom>
      </xdr:spPr>
    </xdr:pic>
    <xdr:clientData/>
  </xdr:twoCellAnchor>
  <xdr:twoCellAnchor editAs="oneCell">
    <xdr:from>
      <xdr:col>7</xdr:col>
      <xdr:colOff>352425</xdr:colOff>
      <xdr:row>117</xdr:row>
      <xdr:rowOff>66675</xdr:rowOff>
    </xdr:from>
    <xdr:to>
      <xdr:col>10</xdr:col>
      <xdr:colOff>838200</xdr:colOff>
      <xdr:row>130</xdr:row>
      <xdr:rowOff>95250</xdr:rowOff>
    </xdr:to>
    <xdr:pic>
      <xdr:nvPicPr>
        <xdr:cNvPr id="19" name="50 Imagen">
          <a:extLst>
            <a:ext uri="{FF2B5EF4-FFF2-40B4-BE49-F238E27FC236}">
              <a16:creationId xmlns:a16="http://schemas.microsoft.com/office/drawing/2014/main" id="{10D4D6B1-2F0B-4EAC-A092-88D4E6371184}"/>
            </a:ext>
          </a:extLst>
        </xdr:cNvPr>
        <xdr:cNvPicPr>
          <a:picLocks noChangeAspect="1"/>
        </xdr:cNvPicPr>
      </xdr:nvPicPr>
      <xdr:blipFill>
        <a:blip xmlns:r="http://schemas.openxmlformats.org/officeDocument/2006/relationships" r:embed="rId18"/>
        <a:stretch>
          <a:fillRect/>
        </a:stretch>
      </xdr:blipFill>
      <xdr:spPr>
        <a:xfrm>
          <a:off x="4840605" y="23795355"/>
          <a:ext cx="3427095" cy="2421255"/>
        </a:xfrm>
        <a:prstGeom prst="rect">
          <a:avLst/>
        </a:prstGeom>
      </xdr:spPr>
    </xdr:pic>
    <xdr:clientData/>
  </xdr:twoCellAnchor>
  <xdr:twoCellAnchor editAs="oneCell">
    <xdr:from>
      <xdr:col>2</xdr:col>
      <xdr:colOff>104775</xdr:colOff>
      <xdr:row>133</xdr:row>
      <xdr:rowOff>85725</xdr:rowOff>
    </xdr:from>
    <xdr:to>
      <xdr:col>6</xdr:col>
      <xdr:colOff>312420</xdr:colOff>
      <xdr:row>146</xdr:row>
      <xdr:rowOff>91440</xdr:rowOff>
    </xdr:to>
    <xdr:pic>
      <xdr:nvPicPr>
        <xdr:cNvPr id="20" name="51 Imagen">
          <a:extLst>
            <a:ext uri="{FF2B5EF4-FFF2-40B4-BE49-F238E27FC236}">
              <a16:creationId xmlns:a16="http://schemas.microsoft.com/office/drawing/2014/main" id="{148EC526-EFA2-44AA-928D-152B2A0480E5}"/>
            </a:ext>
          </a:extLst>
        </xdr:cNvPr>
        <xdr:cNvPicPr>
          <a:picLocks noChangeAspect="1"/>
        </xdr:cNvPicPr>
      </xdr:nvPicPr>
      <xdr:blipFill>
        <a:blip xmlns:r="http://schemas.openxmlformats.org/officeDocument/2006/relationships" r:embed="rId19"/>
        <a:stretch>
          <a:fillRect/>
        </a:stretch>
      </xdr:blipFill>
      <xdr:spPr>
        <a:xfrm>
          <a:off x="706755" y="26961465"/>
          <a:ext cx="3408045" cy="2398395"/>
        </a:xfrm>
        <a:prstGeom prst="rect">
          <a:avLst/>
        </a:prstGeom>
      </xdr:spPr>
    </xdr:pic>
    <xdr:clientData/>
  </xdr:twoCellAnchor>
  <xdr:twoCellAnchor editAs="oneCell">
    <xdr:from>
      <xdr:col>8</xdr:col>
      <xdr:colOff>47625</xdr:colOff>
      <xdr:row>133</xdr:row>
      <xdr:rowOff>85725</xdr:rowOff>
    </xdr:from>
    <xdr:to>
      <xdr:col>10</xdr:col>
      <xdr:colOff>914400</xdr:colOff>
      <xdr:row>146</xdr:row>
      <xdr:rowOff>114300</xdr:rowOff>
    </xdr:to>
    <xdr:pic>
      <xdr:nvPicPr>
        <xdr:cNvPr id="21" name="52 Imagen">
          <a:extLst>
            <a:ext uri="{FF2B5EF4-FFF2-40B4-BE49-F238E27FC236}">
              <a16:creationId xmlns:a16="http://schemas.microsoft.com/office/drawing/2014/main" id="{D31A2A05-A7B8-4A0C-89D8-A63E593CDE51}"/>
            </a:ext>
          </a:extLst>
        </xdr:cNvPr>
        <xdr:cNvPicPr>
          <a:picLocks noChangeAspect="1"/>
        </xdr:cNvPicPr>
      </xdr:nvPicPr>
      <xdr:blipFill>
        <a:blip xmlns:r="http://schemas.openxmlformats.org/officeDocument/2006/relationships" r:embed="rId20"/>
        <a:stretch>
          <a:fillRect/>
        </a:stretch>
      </xdr:blipFill>
      <xdr:spPr>
        <a:xfrm>
          <a:off x="4924425" y="26961465"/>
          <a:ext cx="3419475" cy="2421255"/>
        </a:xfrm>
        <a:prstGeom prst="rect">
          <a:avLst/>
        </a:prstGeom>
      </xdr:spPr>
    </xdr:pic>
    <xdr:clientData/>
  </xdr:twoCellAnchor>
  <xdr:twoCellAnchor editAs="oneCell">
    <xdr:from>
      <xdr:col>2</xdr:col>
      <xdr:colOff>114300</xdr:colOff>
      <xdr:row>149</xdr:row>
      <xdr:rowOff>57150</xdr:rowOff>
    </xdr:from>
    <xdr:to>
      <xdr:col>6</xdr:col>
      <xdr:colOff>352425</xdr:colOff>
      <xdr:row>162</xdr:row>
      <xdr:rowOff>85725</xdr:rowOff>
    </xdr:to>
    <xdr:pic>
      <xdr:nvPicPr>
        <xdr:cNvPr id="22" name="56 Imagen">
          <a:extLst>
            <a:ext uri="{FF2B5EF4-FFF2-40B4-BE49-F238E27FC236}">
              <a16:creationId xmlns:a16="http://schemas.microsoft.com/office/drawing/2014/main" id="{FEF15A55-8F23-4DB1-BA50-3B0AB32A97E0}"/>
            </a:ext>
          </a:extLst>
        </xdr:cNvPr>
        <xdr:cNvPicPr>
          <a:picLocks noChangeAspect="1"/>
        </xdr:cNvPicPr>
      </xdr:nvPicPr>
      <xdr:blipFill>
        <a:blip xmlns:r="http://schemas.openxmlformats.org/officeDocument/2006/relationships" r:embed="rId21"/>
        <a:stretch>
          <a:fillRect/>
        </a:stretch>
      </xdr:blipFill>
      <xdr:spPr>
        <a:xfrm>
          <a:off x="716280" y="30079950"/>
          <a:ext cx="3438525" cy="2421255"/>
        </a:xfrm>
        <a:prstGeom prst="rect">
          <a:avLst/>
        </a:prstGeom>
      </xdr:spPr>
    </xdr:pic>
    <xdr:clientData/>
  </xdr:twoCellAnchor>
  <xdr:twoCellAnchor editAs="oneCell">
    <xdr:from>
      <xdr:col>7</xdr:col>
      <xdr:colOff>361950</xdr:colOff>
      <xdr:row>149</xdr:row>
      <xdr:rowOff>57150</xdr:rowOff>
    </xdr:from>
    <xdr:to>
      <xdr:col>10</xdr:col>
      <xdr:colOff>847725</xdr:colOff>
      <xdr:row>162</xdr:row>
      <xdr:rowOff>93345</xdr:rowOff>
    </xdr:to>
    <xdr:pic>
      <xdr:nvPicPr>
        <xdr:cNvPr id="23" name="61 Imagen">
          <a:extLst>
            <a:ext uri="{FF2B5EF4-FFF2-40B4-BE49-F238E27FC236}">
              <a16:creationId xmlns:a16="http://schemas.microsoft.com/office/drawing/2014/main" id="{87C061E1-6823-4DCC-BCF1-E08172CF41A9}"/>
            </a:ext>
          </a:extLst>
        </xdr:cNvPr>
        <xdr:cNvPicPr>
          <a:picLocks noChangeAspect="1"/>
        </xdr:cNvPicPr>
      </xdr:nvPicPr>
      <xdr:blipFill>
        <a:blip xmlns:r="http://schemas.openxmlformats.org/officeDocument/2006/relationships" r:embed="rId22"/>
        <a:stretch>
          <a:fillRect/>
        </a:stretch>
      </xdr:blipFill>
      <xdr:spPr>
        <a:xfrm>
          <a:off x="4850130" y="30079950"/>
          <a:ext cx="3427095" cy="2428875"/>
        </a:xfrm>
        <a:prstGeom prst="rect">
          <a:avLst/>
        </a:prstGeom>
      </xdr:spPr>
    </xdr:pic>
    <xdr:clientData/>
  </xdr:twoCellAnchor>
  <xdr:twoCellAnchor editAs="oneCell">
    <xdr:from>
      <xdr:col>2</xdr:col>
      <xdr:colOff>142875</xdr:colOff>
      <xdr:row>165</xdr:row>
      <xdr:rowOff>76200</xdr:rowOff>
    </xdr:from>
    <xdr:to>
      <xdr:col>6</xdr:col>
      <xdr:colOff>388620</xdr:colOff>
      <xdr:row>178</xdr:row>
      <xdr:rowOff>104775</xdr:rowOff>
    </xdr:to>
    <xdr:pic>
      <xdr:nvPicPr>
        <xdr:cNvPr id="24" name="63 Imagen">
          <a:extLst>
            <a:ext uri="{FF2B5EF4-FFF2-40B4-BE49-F238E27FC236}">
              <a16:creationId xmlns:a16="http://schemas.microsoft.com/office/drawing/2014/main" id="{C328F479-0088-45F1-9C43-CEBE9F14B092}"/>
            </a:ext>
          </a:extLst>
        </xdr:cNvPr>
        <xdr:cNvPicPr>
          <a:picLocks noChangeAspect="1"/>
        </xdr:cNvPicPr>
      </xdr:nvPicPr>
      <xdr:blipFill>
        <a:blip xmlns:r="http://schemas.openxmlformats.org/officeDocument/2006/relationships" r:embed="rId23"/>
        <a:stretch>
          <a:fillRect/>
        </a:stretch>
      </xdr:blipFill>
      <xdr:spPr>
        <a:xfrm>
          <a:off x="744855" y="33246060"/>
          <a:ext cx="3446145" cy="2421255"/>
        </a:xfrm>
        <a:prstGeom prst="rect">
          <a:avLst/>
        </a:prstGeom>
      </xdr:spPr>
    </xdr:pic>
    <xdr:clientData/>
  </xdr:twoCellAnchor>
  <xdr:twoCellAnchor editAs="oneCell">
    <xdr:from>
      <xdr:col>7</xdr:col>
      <xdr:colOff>352425</xdr:colOff>
      <xdr:row>165</xdr:row>
      <xdr:rowOff>76200</xdr:rowOff>
    </xdr:from>
    <xdr:to>
      <xdr:col>10</xdr:col>
      <xdr:colOff>838200</xdr:colOff>
      <xdr:row>178</xdr:row>
      <xdr:rowOff>104775</xdr:rowOff>
    </xdr:to>
    <xdr:pic>
      <xdr:nvPicPr>
        <xdr:cNvPr id="25" name="65 Imagen">
          <a:extLst>
            <a:ext uri="{FF2B5EF4-FFF2-40B4-BE49-F238E27FC236}">
              <a16:creationId xmlns:a16="http://schemas.microsoft.com/office/drawing/2014/main" id="{623FE55F-CBB1-44B0-B2C3-86D193B44E49}"/>
            </a:ext>
          </a:extLst>
        </xdr:cNvPr>
        <xdr:cNvPicPr>
          <a:picLocks noChangeAspect="1"/>
        </xdr:cNvPicPr>
      </xdr:nvPicPr>
      <xdr:blipFill>
        <a:blip xmlns:r="http://schemas.openxmlformats.org/officeDocument/2006/relationships" r:embed="rId24"/>
        <a:stretch>
          <a:fillRect/>
        </a:stretch>
      </xdr:blipFill>
      <xdr:spPr>
        <a:xfrm>
          <a:off x="4840605" y="33246060"/>
          <a:ext cx="3427095" cy="2421255"/>
        </a:xfrm>
        <a:prstGeom prst="rect">
          <a:avLst/>
        </a:prstGeom>
      </xdr:spPr>
    </xdr:pic>
    <xdr:clientData/>
  </xdr:twoCellAnchor>
  <xdr:twoCellAnchor editAs="oneCell">
    <xdr:from>
      <xdr:col>2</xdr:col>
      <xdr:colOff>95250</xdr:colOff>
      <xdr:row>181</xdr:row>
      <xdr:rowOff>66675</xdr:rowOff>
    </xdr:from>
    <xdr:to>
      <xdr:col>6</xdr:col>
      <xdr:colOff>340995</xdr:colOff>
      <xdr:row>194</xdr:row>
      <xdr:rowOff>95250</xdr:rowOff>
    </xdr:to>
    <xdr:pic>
      <xdr:nvPicPr>
        <xdr:cNvPr id="26" name="67 Imagen">
          <a:extLst>
            <a:ext uri="{FF2B5EF4-FFF2-40B4-BE49-F238E27FC236}">
              <a16:creationId xmlns:a16="http://schemas.microsoft.com/office/drawing/2014/main" id="{77EED92C-F511-43A9-B988-1C65B0FB8E89}"/>
            </a:ext>
          </a:extLst>
        </xdr:cNvPr>
        <xdr:cNvPicPr>
          <a:picLocks noChangeAspect="1"/>
        </xdr:cNvPicPr>
      </xdr:nvPicPr>
      <xdr:blipFill>
        <a:blip xmlns:r="http://schemas.openxmlformats.org/officeDocument/2006/relationships" r:embed="rId25"/>
        <a:stretch>
          <a:fillRect/>
        </a:stretch>
      </xdr:blipFill>
      <xdr:spPr>
        <a:xfrm>
          <a:off x="697230" y="36383595"/>
          <a:ext cx="3446145" cy="2421255"/>
        </a:xfrm>
        <a:prstGeom prst="rect">
          <a:avLst/>
        </a:prstGeom>
      </xdr:spPr>
    </xdr:pic>
    <xdr:clientData/>
  </xdr:twoCellAnchor>
  <xdr:twoCellAnchor editAs="oneCell">
    <xdr:from>
      <xdr:col>8</xdr:col>
      <xdr:colOff>38100</xdr:colOff>
      <xdr:row>181</xdr:row>
      <xdr:rowOff>38100</xdr:rowOff>
    </xdr:from>
    <xdr:to>
      <xdr:col>10</xdr:col>
      <xdr:colOff>912495</xdr:colOff>
      <xdr:row>194</xdr:row>
      <xdr:rowOff>74295</xdr:rowOff>
    </xdr:to>
    <xdr:pic>
      <xdr:nvPicPr>
        <xdr:cNvPr id="27" name="70 Imagen">
          <a:extLst>
            <a:ext uri="{FF2B5EF4-FFF2-40B4-BE49-F238E27FC236}">
              <a16:creationId xmlns:a16="http://schemas.microsoft.com/office/drawing/2014/main" id="{0D917051-9021-44F2-A4AA-EDFC5A8834A6}"/>
            </a:ext>
          </a:extLst>
        </xdr:cNvPr>
        <xdr:cNvPicPr>
          <a:picLocks noChangeAspect="1"/>
        </xdr:cNvPicPr>
      </xdr:nvPicPr>
      <xdr:blipFill>
        <a:blip xmlns:r="http://schemas.openxmlformats.org/officeDocument/2006/relationships" r:embed="rId26"/>
        <a:stretch>
          <a:fillRect/>
        </a:stretch>
      </xdr:blipFill>
      <xdr:spPr>
        <a:xfrm>
          <a:off x="4914900" y="36355020"/>
          <a:ext cx="3427095" cy="242887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7489DA93-8380-4F86-94AE-CBE238E88A92}"/>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88513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00156981-DA8B-46E6-9883-0266586F4FD8}"/>
            </a:ext>
          </a:extLst>
        </xdr:cNvPr>
        <xdr:cNvPicPr>
          <a:picLocks noChangeAspect="1"/>
        </xdr:cNvPicPr>
      </xdr:nvPicPr>
      <xdr:blipFill>
        <a:blip xmlns:r="http://schemas.openxmlformats.org/officeDocument/2006/relationships" r:embed="rId2"/>
        <a:stretch>
          <a:fillRect/>
        </a:stretch>
      </xdr:blipFill>
      <xdr:spPr>
        <a:xfrm>
          <a:off x="247649" y="123826"/>
          <a:ext cx="714375" cy="247649"/>
        </a:xfrm>
        <a:prstGeom prst="rect">
          <a:avLst/>
        </a:prstGeom>
      </xdr:spPr>
    </xdr:pic>
    <xdr:clientData/>
  </xdr:oneCellAnchor>
  <xdr:oneCellAnchor>
    <xdr:from>
      <xdr:col>0</xdr:col>
      <xdr:colOff>0</xdr:colOff>
      <xdr:row>374</xdr:row>
      <xdr:rowOff>0</xdr:rowOff>
    </xdr:from>
    <xdr:ext cx="2217420" cy="0"/>
    <xdr:pic>
      <xdr:nvPicPr>
        <xdr:cNvPr id="4" name="Imagen 3">
          <a:extLst>
            <a:ext uri="{FF2B5EF4-FFF2-40B4-BE49-F238E27FC236}">
              <a16:creationId xmlns:a16="http://schemas.microsoft.com/office/drawing/2014/main" id="{727BCB0D-351B-47CC-9410-A5B160F44352}"/>
            </a:ext>
          </a:extLst>
        </xdr:cNvPr>
        <xdr:cNvPicPr>
          <a:picLocks noChangeAspect="1"/>
        </xdr:cNvPicPr>
      </xdr:nvPicPr>
      <xdr:blipFill>
        <a:blip xmlns:r="http://schemas.openxmlformats.org/officeDocument/2006/relationships" r:embed="rId3"/>
        <a:stretch>
          <a:fillRect/>
        </a:stretch>
      </xdr:blipFill>
      <xdr:spPr>
        <a:xfrm>
          <a:off x="0" y="40805100"/>
          <a:ext cx="2217420" cy="0"/>
        </a:xfrm>
        <a:prstGeom prst="rect">
          <a:avLst/>
        </a:prstGeom>
      </xdr:spPr>
    </xdr:pic>
    <xdr:clientData/>
  </xdr:oneCellAnchor>
  <xdr:oneCellAnchor>
    <xdr:from>
      <xdr:col>0</xdr:col>
      <xdr:colOff>152400</xdr:colOff>
      <xdr:row>406</xdr:row>
      <xdr:rowOff>0</xdr:rowOff>
    </xdr:from>
    <xdr:ext cx="2217420" cy="0"/>
    <xdr:pic>
      <xdr:nvPicPr>
        <xdr:cNvPr id="5" name="Imagen 4">
          <a:extLst>
            <a:ext uri="{FF2B5EF4-FFF2-40B4-BE49-F238E27FC236}">
              <a16:creationId xmlns:a16="http://schemas.microsoft.com/office/drawing/2014/main" id="{56E1D3D6-9A6E-44B4-B578-259AF5F095AD}"/>
            </a:ext>
          </a:extLst>
        </xdr:cNvPr>
        <xdr:cNvPicPr>
          <a:picLocks noChangeAspect="1"/>
        </xdr:cNvPicPr>
      </xdr:nvPicPr>
      <xdr:blipFill>
        <a:blip xmlns:r="http://schemas.openxmlformats.org/officeDocument/2006/relationships" r:embed="rId3"/>
        <a:stretch>
          <a:fillRect/>
        </a:stretch>
      </xdr:blipFill>
      <xdr:spPr>
        <a:xfrm>
          <a:off x="152400" y="46779180"/>
          <a:ext cx="2217420" cy="0"/>
        </a:xfrm>
        <a:prstGeom prst="rect">
          <a:avLst/>
        </a:prstGeom>
      </xdr:spPr>
    </xdr:pic>
    <xdr:clientData/>
  </xdr:oneCellAnchor>
  <xdr:oneCellAnchor>
    <xdr:from>
      <xdr:col>6</xdr:col>
      <xdr:colOff>560916</xdr:colOff>
      <xdr:row>149</xdr:row>
      <xdr:rowOff>52917</xdr:rowOff>
    </xdr:from>
    <xdr:ext cx="0" cy="0"/>
    <xdr:pic>
      <xdr:nvPicPr>
        <xdr:cNvPr id="6" name="Imagen 5">
          <a:extLst>
            <a:ext uri="{FF2B5EF4-FFF2-40B4-BE49-F238E27FC236}">
              <a16:creationId xmlns:a16="http://schemas.microsoft.com/office/drawing/2014/main" id="{FB93CA4A-71DF-4AF4-8C85-2CA5C2CA85FB}"/>
            </a:ext>
          </a:extLst>
        </xdr:cNvPr>
        <xdr:cNvPicPr>
          <a:picLocks noChangeAspect="1"/>
        </xdr:cNvPicPr>
      </xdr:nvPicPr>
      <xdr:blipFill>
        <a:blip xmlns:r="http://schemas.openxmlformats.org/officeDocument/2006/relationships" r:embed="rId4"/>
        <a:stretch>
          <a:fillRect/>
        </a:stretch>
      </xdr:blipFill>
      <xdr:spPr>
        <a:xfrm>
          <a:off x="5163396" y="7291917"/>
          <a:ext cx="0" cy="0"/>
        </a:xfrm>
        <a:prstGeom prst="rect">
          <a:avLst/>
        </a:prstGeom>
      </xdr:spPr>
    </xdr:pic>
    <xdr:clientData/>
  </xdr:oneCellAnchor>
  <xdr:oneCellAnchor>
    <xdr:from>
      <xdr:col>0</xdr:col>
      <xdr:colOff>152400</xdr:colOff>
      <xdr:row>421</xdr:row>
      <xdr:rowOff>0</xdr:rowOff>
    </xdr:from>
    <xdr:ext cx="2217420" cy="0"/>
    <xdr:pic>
      <xdr:nvPicPr>
        <xdr:cNvPr id="7" name="Imagen 6">
          <a:extLst>
            <a:ext uri="{FF2B5EF4-FFF2-40B4-BE49-F238E27FC236}">
              <a16:creationId xmlns:a16="http://schemas.microsoft.com/office/drawing/2014/main" id="{7020BEF9-66FB-4AC5-B1C6-E751F2A4A847}"/>
            </a:ext>
          </a:extLst>
        </xdr:cNvPr>
        <xdr:cNvPicPr>
          <a:picLocks noChangeAspect="1"/>
        </xdr:cNvPicPr>
      </xdr:nvPicPr>
      <xdr:blipFill>
        <a:blip xmlns:r="http://schemas.openxmlformats.org/officeDocument/2006/relationships" r:embed="rId3"/>
        <a:stretch>
          <a:fillRect/>
        </a:stretch>
      </xdr:blipFill>
      <xdr:spPr>
        <a:xfrm>
          <a:off x="152400" y="46779180"/>
          <a:ext cx="2217420" cy="0"/>
        </a:xfrm>
        <a:prstGeom prst="rect">
          <a:avLst/>
        </a:prstGeom>
      </xdr:spPr>
    </xdr:pic>
    <xdr:clientData/>
  </xdr:oneCellAnchor>
  <xdr:oneCellAnchor>
    <xdr:from>
      <xdr:col>0</xdr:col>
      <xdr:colOff>152400</xdr:colOff>
      <xdr:row>421</xdr:row>
      <xdr:rowOff>0</xdr:rowOff>
    </xdr:from>
    <xdr:ext cx="2217420" cy="0"/>
    <xdr:pic>
      <xdr:nvPicPr>
        <xdr:cNvPr id="8" name="Imagen 7">
          <a:extLst>
            <a:ext uri="{FF2B5EF4-FFF2-40B4-BE49-F238E27FC236}">
              <a16:creationId xmlns:a16="http://schemas.microsoft.com/office/drawing/2014/main" id="{23B18A5A-9FA7-4405-A304-04330897447B}"/>
            </a:ext>
          </a:extLst>
        </xdr:cNvPr>
        <xdr:cNvPicPr>
          <a:picLocks noChangeAspect="1"/>
        </xdr:cNvPicPr>
      </xdr:nvPicPr>
      <xdr:blipFill>
        <a:blip xmlns:r="http://schemas.openxmlformats.org/officeDocument/2006/relationships" r:embed="rId3"/>
        <a:stretch>
          <a:fillRect/>
        </a:stretch>
      </xdr:blipFill>
      <xdr:spPr>
        <a:xfrm>
          <a:off x="152400" y="46779180"/>
          <a:ext cx="2217420" cy="0"/>
        </a:xfrm>
        <a:prstGeom prst="rect">
          <a:avLst/>
        </a:prstGeom>
      </xdr:spPr>
    </xdr:pic>
    <xdr:clientData/>
  </xdr:oneCellAnchor>
  <xdr:oneCellAnchor>
    <xdr:from>
      <xdr:col>0</xdr:col>
      <xdr:colOff>152400</xdr:colOff>
      <xdr:row>390</xdr:row>
      <xdr:rowOff>152400</xdr:rowOff>
    </xdr:from>
    <xdr:ext cx="2217420" cy="0"/>
    <xdr:pic>
      <xdr:nvPicPr>
        <xdr:cNvPr id="9" name="Imagen 8">
          <a:extLst>
            <a:ext uri="{FF2B5EF4-FFF2-40B4-BE49-F238E27FC236}">
              <a16:creationId xmlns:a16="http://schemas.microsoft.com/office/drawing/2014/main" id="{4FE9189D-96DD-4C0B-BB69-A1C33328E887}"/>
            </a:ext>
          </a:extLst>
        </xdr:cNvPr>
        <xdr:cNvPicPr>
          <a:picLocks noChangeAspect="1"/>
        </xdr:cNvPicPr>
      </xdr:nvPicPr>
      <xdr:blipFill>
        <a:blip xmlns:r="http://schemas.openxmlformats.org/officeDocument/2006/relationships" r:embed="rId3"/>
        <a:stretch>
          <a:fillRect/>
        </a:stretch>
      </xdr:blipFill>
      <xdr:spPr>
        <a:xfrm>
          <a:off x="152400" y="43990260"/>
          <a:ext cx="2217420" cy="0"/>
        </a:xfrm>
        <a:prstGeom prst="rect">
          <a:avLst/>
        </a:prstGeom>
      </xdr:spPr>
    </xdr:pic>
    <xdr:clientData/>
  </xdr:oneCellAnchor>
  <xdr:oneCellAnchor>
    <xdr:from>
      <xdr:col>0</xdr:col>
      <xdr:colOff>190500</xdr:colOff>
      <xdr:row>438</xdr:row>
      <xdr:rowOff>85725</xdr:rowOff>
    </xdr:from>
    <xdr:ext cx="3360420" cy="2522220"/>
    <xdr:pic>
      <xdr:nvPicPr>
        <xdr:cNvPr id="10" name="Imagen 9">
          <a:extLst>
            <a:ext uri="{FF2B5EF4-FFF2-40B4-BE49-F238E27FC236}">
              <a16:creationId xmlns:a16="http://schemas.microsoft.com/office/drawing/2014/main" id="{DD513E69-3A7C-41B3-BFF8-19C022F7EFF9}"/>
            </a:ext>
          </a:extLst>
        </xdr:cNvPr>
        <xdr:cNvPicPr>
          <a:picLocks noChangeAspect="1"/>
        </xdr:cNvPicPr>
      </xdr:nvPicPr>
      <xdr:blipFill>
        <a:blip xmlns:r="http://schemas.openxmlformats.org/officeDocument/2006/relationships" r:embed="rId5"/>
        <a:stretch>
          <a:fillRect/>
        </a:stretch>
      </xdr:blipFill>
      <xdr:spPr>
        <a:xfrm>
          <a:off x="190500" y="49935765"/>
          <a:ext cx="3360420" cy="2522220"/>
        </a:xfrm>
        <a:prstGeom prst="rect">
          <a:avLst/>
        </a:prstGeom>
      </xdr:spPr>
    </xdr:pic>
    <xdr:clientData/>
  </xdr:oneCellAnchor>
  <xdr:oneCellAnchor>
    <xdr:from>
      <xdr:col>6</xdr:col>
      <xdr:colOff>342900</xdr:colOff>
      <xdr:row>438</xdr:row>
      <xdr:rowOff>76200</xdr:rowOff>
    </xdr:from>
    <xdr:ext cx="3360420" cy="2514600"/>
    <xdr:pic>
      <xdr:nvPicPr>
        <xdr:cNvPr id="11" name="Imagen 10">
          <a:extLst>
            <a:ext uri="{FF2B5EF4-FFF2-40B4-BE49-F238E27FC236}">
              <a16:creationId xmlns:a16="http://schemas.microsoft.com/office/drawing/2014/main" id="{F39F443F-5E9D-48CA-8BBC-A492CAFC43A7}"/>
            </a:ext>
          </a:extLst>
        </xdr:cNvPr>
        <xdr:cNvPicPr>
          <a:picLocks noChangeAspect="1"/>
        </xdr:cNvPicPr>
      </xdr:nvPicPr>
      <xdr:blipFill>
        <a:blip xmlns:r="http://schemas.openxmlformats.org/officeDocument/2006/relationships" r:embed="rId6"/>
        <a:stretch>
          <a:fillRect/>
        </a:stretch>
      </xdr:blipFill>
      <xdr:spPr>
        <a:xfrm>
          <a:off x="4945380" y="49926240"/>
          <a:ext cx="3360420" cy="2514600"/>
        </a:xfrm>
        <a:prstGeom prst="rect">
          <a:avLst/>
        </a:prstGeom>
      </xdr:spPr>
    </xdr:pic>
    <xdr:clientData/>
  </xdr:oneCellAnchor>
  <xdr:twoCellAnchor editAs="oneCell">
    <xdr:from>
      <xdr:col>0</xdr:col>
      <xdr:colOff>142875</xdr:colOff>
      <xdr:row>470</xdr:row>
      <xdr:rowOff>95250</xdr:rowOff>
    </xdr:from>
    <xdr:to>
      <xdr:col>4</xdr:col>
      <xdr:colOff>440055</xdr:colOff>
      <xdr:row>473</xdr:row>
      <xdr:rowOff>125730</xdr:rowOff>
    </xdr:to>
    <xdr:pic>
      <xdr:nvPicPr>
        <xdr:cNvPr id="12" name="Imagen 11">
          <a:extLst>
            <a:ext uri="{FF2B5EF4-FFF2-40B4-BE49-F238E27FC236}">
              <a16:creationId xmlns:a16="http://schemas.microsoft.com/office/drawing/2014/main" id="{44C5B243-CB34-43C0-A6BD-9EB607EAD1E1}"/>
            </a:ext>
          </a:extLst>
        </xdr:cNvPr>
        <xdr:cNvPicPr>
          <a:picLocks noChangeAspect="1"/>
        </xdr:cNvPicPr>
      </xdr:nvPicPr>
      <xdr:blipFill>
        <a:blip xmlns:r="http://schemas.openxmlformats.org/officeDocument/2006/relationships" r:embed="rId7"/>
        <a:stretch>
          <a:fillRect/>
        </a:stretch>
      </xdr:blipFill>
      <xdr:spPr>
        <a:xfrm>
          <a:off x="142875" y="52886610"/>
          <a:ext cx="3467100" cy="2491740"/>
        </a:xfrm>
        <a:prstGeom prst="rect">
          <a:avLst/>
        </a:prstGeom>
      </xdr:spPr>
    </xdr:pic>
    <xdr:clientData/>
  </xdr:twoCellAnchor>
  <xdr:twoCellAnchor editAs="oneCell">
    <xdr:from>
      <xdr:col>6</xdr:col>
      <xdr:colOff>0</xdr:colOff>
      <xdr:row>454</xdr:row>
      <xdr:rowOff>0</xdr:rowOff>
    </xdr:from>
    <xdr:to>
      <xdr:col>9</xdr:col>
      <xdr:colOff>472440</xdr:colOff>
      <xdr:row>473</xdr:row>
      <xdr:rowOff>22860</xdr:rowOff>
    </xdr:to>
    <xdr:pic>
      <xdr:nvPicPr>
        <xdr:cNvPr id="13" name="Imagen 12">
          <a:extLst>
            <a:ext uri="{FF2B5EF4-FFF2-40B4-BE49-F238E27FC236}">
              <a16:creationId xmlns:a16="http://schemas.microsoft.com/office/drawing/2014/main" id="{112C8F5E-5843-407A-AB26-FE4B6C7BCB13}"/>
            </a:ext>
          </a:extLst>
        </xdr:cNvPr>
        <xdr:cNvPicPr>
          <a:picLocks noChangeAspect="1"/>
        </xdr:cNvPicPr>
      </xdr:nvPicPr>
      <xdr:blipFill>
        <a:blip xmlns:r="http://schemas.openxmlformats.org/officeDocument/2006/relationships" r:embed="rId8"/>
        <a:stretch>
          <a:fillRect/>
        </a:stretch>
      </xdr:blipFill>
      <xdr:spPr>
        <a:xfrm>
          <a:off x="4602480" y="52791360"/>
          <a:ext cx="3429000" cy="2484120"/>
        </a:xfrm>
        <a:prstGeom prst="rect">
          <a:avLst/>
        </a:prstGeom>
      </xdr:spPr>
    </xdr:pic>
    <xdr:clientData/>
  </xdr:twoCellAnchor>
  <xdr:twoCellAnchor editAs="oneCell">
    <xdr:from>
      <xdr:col>0</xdr:col>
      <xdr:colOff>95250</xdr:colOff>
      <xdr:row>476</xdr:row>
      <xdr:rowOff>76200</xdr:rowOff>
    </xdr:from>
    <xdr:to>
      <xdr:col>4</xdr:col>
      <xdr:colOff>404641</xdr:colOff>
      <xdr:row>489</xdr:row>
      <xdr:rowOff>119700</xdr:rowOff>
    </xdr:to>
    <xdr:pic>
      <xdr:nvPicPr>
        <xdr:cNvPr id="14" name="Imagen 13">
          <a:extLst>
            <a:ext uri="{FF2B5EF4-FFF2-40B4-BE49-F238E27FC236}">
              <a16:creationId xmlns:a16="http://schemas.microsoft.com/office/drawing/2014/main" id="{8444A49E-CFCF-42D8-8659-C05F03DC8919}"/>
            </a:ext>
          </a:extLst>
        </xdr:cNvPr>
        <xdr:cNvPicPr>
          <a:picLocks noChangeAspect="1"/>
        </xdr:cNvPicPr>
      </xdr:nvPicPr>
      <xdr:blipFill>
        <a:blip xmlns:r="http://schemas.openxmlformats.org/officeDocument/2006/relationships" r:embed="rId9"/>
        <a:stretch>
          <a:fillRect/>
        </a:stretch>
      </xdr:blipFill>
      <xdr:spPr>
        <a:xfrm>
          <a:off x="95250" y="56045100"/>
          <a:ext cx="3479311" cy="2420940"/>
        </a:xfrm>
        <a:prstGeom prst="rect">
          <a:avLst/>
        </a:prstGeom>
      </xdr:spPr>
    </xdr:pic>
    <xdr:clientData/>
  </xdr:twoCellAnchor>
  <xdr:twoCellAnchor editAs="oneCell">
    <xdr:from>
      <xdr:col>6</xdr:col>
      <xdr:colOff>352425</xdr:colOff>
      <xdr:row>476</xdr:row>
      <xdr:rowOff>85725</xdr:rowOff>
    </xdr:from>
    <xdr:to>
      <xdr:col>10</xdr:col>
      <xdr:colOff>90316</xdr:colOff>
      <xdr:row>489</xdr:row>
      <xdr:rowOff>129225</xdr:rowOff>
    </xdr:to>
    <xdr:pic>
      <xdr:nvPicPr>
        <xdr:cNvPr id="15" name="Imagen 14">
          <a:extLst>
            <a:ext uri="{FF2B5EF4-FFF2-40B4-BE49-F238E27FC236}">
              <a16:creationId xmlns:a16="http://schemas.microsoft.com/office/drawing/2014/main" id="{4B96E522-B778-4ACE-B287-29C581235DB9}"/>
            </a:ext>
          </a:extLst>
        </xdr:cNvPr>
        <xdr:cNvPicPr>
          <a:picLocks noChangeAspect="1"/>
        </xdr:cNvPicPr>
      </xdr:nvPicPr>
      <xdr:blipFill>
        <a:blip xmlns:r="http://schemas.openxmlformats.org/officeDocument/2006/relationships" r:embed="rId10"/>
        <a:stretch>
          <a:fillRect/>
        </a:stretch>
      </xdr:blipFill>
      <xdr:spPr>
        <a:xfrm>
          <a:off x="4954905" y="56054625"/>
          <a:ext cx="3486931" cy="2420940"/>
        </a:xfrm>
        <a:prstGeom prst="rect">
          <a:avLst/>
        </a:prstGeom>
      </xdr:spPr>
    </xdr:pic>
    <xdr:clientData/>
  </xdr:twoCellAnchor>
  <xdr:twoCellAnchor editAs="oneCell">
    <xdr:from>
      <xdr:col>0</xdr:col>
      <xdr:colOff>371475</xdr:colOff>
      <xdr:row>508</xdr:row>
      <xdr:rowOff>85725</xdr:rowOff>
    </xdr:from>
    <xdr:to>
      <xdr:col>4</xdr:col>
      <xdr:colOff>683895</xdr:colOff>
      <xdr:row>521</xdr:row>
      <xdr:rowOff>131445</xdr:rowOff>
    </xdr:to>
    <xdr:pic>
      <xdr:nvPicPr>
        <xdr:cNvPr id="16" name="Imagen 15">
          <a:extLst>
            <a:ext uri="{FF2B5EF4-FFF2-40B4-BE49-F238E27FC236}">
              <a16:creationId xmlns:a16="http://schemas.microsoft.com/office/drawing/2014/main" id="{F8CFA26C-728A-4A71-B752-317FF9BE1802}"/>
            </a:ext>
          </a:extLst>
        </xdr:cNvPr>
        <xdr:cNvPicPr>
          <a:picLocks noChangeAspect="1"/>
        </xdr:cNvPicPr>
      </xdr:nvPicPr>
      <xdr:blipFill>
        <a:blip xmlns:r="http://schemas.openxmlformats.org/officeDocument/2006/relationships" r:embed="rId11"/>
        <a:stretch>
          <a:fillRect/>
        </a:stretch>
      </xdr:blipFill>
      <xdr:spPr>
        <a:xfrm>
          <a:off x="371475" y="62203965"/>
          <a:ext cx="3482340" cy="2423160"/>
        </a:xfrm>
        <a:prstGeom prst="rect">
          <a:avLst/>
        </a:prstGeom>
      </xdr:spPr>
    </xdr:pic>
    <xdr:clientData/>
  </xdr:twoCellAnchor>
  <xdr:twoCellAnchor editAs="oneCell">
    <xdr:from>
      <xdr:col>6</xdr:col>
      <xdr:colOff>390525</xdr:colOff>
      <xdr:row>508</xdr:row>
      <xdr:rowOff>85725</xdr:rowOff>
    </xdr:from>
    <xdr:to>
      <xdr:col>10</xdr:col>
      <xdr:colOff>131445</xdr:colOff>
      <xdr:row>521</xdr:row>
      <xdr:rowOff>131445</xdr:rowOff>
    </xdr:to>
    <xdr:pic>
      <xdr:nvPicPr>
        <xdr:cNvPr id="17" name="Imagen 16">
          <a:extLst>
            <a:ext uri="{FF2B5EF4-FFF2-40B4-BE49-F238E27FC236}">
              <a16:creationId xmlns:a16="http://schemas.microsoft.com/office/drawing/2014/main" id="{55202F9C-4663-4275-8D96-F5A28BF040AA}"/>
            </a:ext>
          </a:extLst>
        </xdr:cNvPr>
        <xdr:cNvPicPr>
          <a:picLocks noChangeAspect="1"/>
        </xdr:cNvPicPr>
      </xdr:nvPicPr>
      <xdr:blipFill>
        <a:blip xmlns:r="http://schemas.openxmlformats.org/officeDocument/2006/relationships" r:embed="rId12"/>
        <a:stretch>
          <a:fillRect/>
        </a:stretch>
      </xdr:blipFill>
      <xdr:spPr>
        <a:xfrm>
          <a:off x="4993005" y="62203965"/>
          <a:ext cx="3489960" cy="2423160"/>
        </a:xfrm>
        <a:prstGeom prst="rect">
          <a:avLst/>
        </a:prstGeom>
      </xdr:spPr>
    </xdr:pic>
    <xdr:clientData/>
  </xdr:twoCellAnchor>
  <xdr:twoCellAnchor editAs="oneCell">
    <xdr:from>
      <xdr:col>0</xdr:col>
      <xdr:colOff>342900</xdr:colOff>
      <xdr:row>524</xdr:row>
      <xdr:rowOff>142875</xdr:rowOff>
    </xdr:from>
    <xdr:to>
      <xdr:col>4</xdr:col>
      <xdr:colOff>647700</xdr:colOff>
      <xdr:row>537</xdr:row>
      <xdr:rowOff>180975</xdr:rowOff>
    </xdr:to>
    <xdr:pic>
      <xdr:nvPicPr>
        <xdr:cNvPr id="18" name="Imagen 17">
          <a:extLst>
            <a:ext uri="{FF2B5EF4-FFF2-40B4-BE49-F238E27FC236}">
              <a16:creationId xmlns:a16="http://schemas.microsoft.com/office/drawing/2014/main" id="{47A005D7-55CE-41F0-9248-BF5231B4F466}"/>
            </a:ext>
          </a:extLst>
        </xdr:cNvPr>
        <xdr:cNvPicPr>
          <a:picLocks noChangeAspect="1"/>
        </xdr:cNvPicPr>
      </xdr:nvPicPr>
      <xdr:blipFill>
        <a:blip xmlns:r="http://schemas.openxmlformats.org/officeDocument/2006/relationships" r:embed="rId13"/>
        <a:stretch>
          <a:fillRect/>
        </a:stretch>
      </xdr:blipFill>
      <xdr:spPr>
        <a:xfrm>
          <a:off x="342900" y="65202435"/>
          <a:ext cx="3474720" cy="2415540"/>
        </a:xfrm>
        <a:prstGeom prst="rect">
          <a:avLst/>
        </a:prstGeom>
      </xdr:spPr>
    </xdr:pic>
    <xdr:clientData/>
  </xdr:twoCellAnchor>
  <xdr:twoCellAnchor editAs="oneCell">
    <xdr:from>
      <xdr:col>6</xdr:col>
      <xdr:colOff>447675</xdr:colOff>
      <xdr:row>524</xdr:row>
      <xdr:rowOff>66675</xdr:rowOff>
    </xdr:from>
    <xdr:to>
      <xdr:col>10</xdr:col>
      <xdr:colOff>180975</xdr:colOff>
      <xdr:row>537</xdr:row>
      <xdr:rowOff>104775</xdr:rowOff>
    </xdr:to>
    <xdr:pic>
      <xdr:nvPicPr>
        <xdr:cNvPr id="19" name="Imagen 18">
          <a:extLst>
            <a:ext uri="{FF2B5EF4-FFF2-40B4-BE49-F238E27FC236}">
              <a16:creationId xmlns:a16="http://schemas.microsoft.com/office/drawing/2014/main" id="{CDAC1011-2673-4F6B-872C-9636A9A512B2}"/>
            </a:ext>
          </a:extLst>
        </xdr:cNvPr>
        <xdr:cNvPicPr>
          <a:picLocks noChangeAspect="1"/>
        </xdr:cNvPicPr>
      </xdr:nvPicPr>
      <xdr:blipFill>
        <a:blip xmlns:r="http://schemas.openxmlformats.org/officeDocument/2006/relationships" r:embed="rId14"/>
        <a:stretch>
          <a:fillRect/>
        </a:stretch>
      </xdr:blipFill>
      <xdr:spPr>
        <a:xfrm>
          <a:off x="5050155" y="65126235"/>
          <a:ext cx="3482340" cy="2415540"/>
        </a:xfrm>
        <a:prstGeom prst="rect">
          <a:avLst/>
        </a:prstGeom>
      </xdr:spPr>
    </xdr:pic>
    <xdr:clientData/>
  </xdr:twoCellAnchor>
  <xdr:twoCellAnchor editAs="oneCell">
    <xdr:from>
      <xdr:col>0</xdr:col>
      <xdr:colOff>323850</xdr:colOff>
      <xdr:row>69</xdr:row>
      <xdr:rowOff>76200</xdr:rowOff>
    </xdr:from>
    <xdr:to>
      <xdr:col>4</xdr:col>
      <xdr:colOff>636270</xdr:colOff>
      <xdr:row>82</xdr:row>
      <xdr:rowOff>121920</xdr:rowOff>
    </xdr:to>
    <xdr:pic>
      <xdr:nvPicPr>
        <xdr:cNvPr id="20" name="Imagen 19">
          <a:extLst>
            <a:ext uri="{FF2B5EF4-FFF2-40B4-BE49-F238E27FC236}">
              <a16:creationId xmlns:a16="http://schemas.microsoft.com/office/drawing/2014/main" id="{A15AE900-2D9F-4AD7-9B53-0E5EE9A29CF4}"/>
            </a:ext>
          </a:extLst>
        </xdr:cNvPr>
        <xdr:cNvPicPr>
          <a:picLocks noChangeAspect="1"/>
        </xdr:cNvPicPr>
      </xdr:nvPicPr>
      <xdr:blipFill>
        <a:blip xmlns:r="http://schemas.openxmlformats.org/officeDocument/2006/relationships" r:embed="rId15"/>
        <a:stretch>
          <a:fillRect/>
        </a:stretch>
      </xdr:blipFill>
      <xdr:spPr>
        <a:xfrm>
          <a:off x="323850" y="1432560"/>
          <a:ext cx="3482340" cy="2423160"/>
        </a:xfrm>
        <a:prstGeom prst="rect">
          <a:avLst/>
        </a:prstGeom>
      </xdr:spPr>
    </xdr:pic>
    <xdr:clientData/>
  </xdr:twoCellAnchor>
  <xdr:twoCellAnchor editAs="oneCell">
    <xdr:from>
      <xdr:col>6</xdr:col>
      <xdr:colOff>457200</xdr:colOff>
      <xdr:row>69</xdr:row>
      <xdr:rowOff>66675</xdr:rowOff>
    </xdr:from>
    <xdr:to>
      <xdr:col>10</xdr:col>
      <xdr:colOff>190500</xdr:colOff>
      <xdr:row>82</xdr:row>
      <xdr:rowOff>104775</xdr:rowOff>
    </xdr:to>
    <xdr:pic>
      <xdr:nvPicPr>
        <xdr:cNvPr id="21" name="Imagen 20">
          <a:extLst>
            <a:ext uri="{FF2B5EF4-FFF2-40B4-BE49-F238E27FC236}">
              <a16:creationId xmlns:a16="http://schemas.microsoft.com/office/drawing/2014/main" id="{173EAC8E-893C-4F47-AEF7-1A9A87D8EAD5}"/>
            </a:ext>
          </a:extLst>
        </xdr:cNvPr>
        <xdr:cNvPicPr>
          <a:picLocks noChangeAspect="1"/>
        </xdr:cNvPicPr>
      </xdr:nvPicPr>
      <xdr:blipFill>
        <a:blip xmlns:r="http://schemas.openxmlformats.org/officeDocument/2006/relationships" r:embed="rId16"/>
        <a:stretch>
          <a:fillRect/>
        </a:stretch>
      </xdr:blipFill>
      <xdr:spPr>
        <a:xfrm>
          <a:off x="5059680" y="1423035"/>
          <a:ext cx="3482340" cy="2415540"/>
        </a:xfrm>
        <a:prstGeom prst="rect">
          <a:avLst/>
        </a:prstGeom>
      </xdr:spPr>
    </xdr:pic>
    <xdr:clientData/>
  </xdr:twoCellAnchor>
  <xdr:twoCellAnchor editAs="oneCell">
    <xdr:from>
      <xdr:col>0</xdr:col>
      <xdr:colOff>342900</xdr:colOff>
      <xdr:row>133</xdr:row>
      <xdr:rowOff>95250</xdr:rowOff>
    </xdr:from>
    <xdr:to>
      <xdr:col>4</xdr:col>
      <xdr:colOff>647700</xdr:colOff>
      <xdr:row>146</xdr:row>
      <xdr:rowOff>133350</xdr:rowOff>
    </xdr:to>
    <xdr:pic>
      <xdr:nvPicPr>
        <xdr:cNvPr id="22" name="Imagen 21">
          <a:extLst>
            <a:ext uri="{FF2B5EF4-FFF2-40B4-BE49-F238E27FC236}">
              <a16:creationId xmlns:a16="http://schemas.microsoft.com/office/drawing/2014/main" id="{6D58B54A-1496-4CAB-AF58-A955B6C729E8}"/>
            </a:ext>
          </a:extLst>
        </xdr:cNvPr>
        <xdr:cNvPicPr>
          <a:picLocks noChangeAspect="1"/>
        </xdr:cNvPicPr>
      </xdr:nvPicPr>
      <xdr:blipFill>
        <a:blip xmlns:r="http://schemas.openxmlformats.org/officeDocument/2006/relationships" r:embed="rId17"/>
        <a:stretch>
          <a:fillRect/>
        </a:stretch>
      </xdr:blipFill>
      <xdr:spPr>
        <a:xfrm>
          <a:off x="342900" y="4392930"/>
          <a:ext cx="3474720" cy="2415540"/>
        </a:xfrm>
        <a:prstGeom prst="rect">
          <a:avLst/>
        </a:prstGeom>
      </xdr:spPr>
    </xdr:pic>
    <xdr:clientData/>
  </xdr:twoCellAnchor>
  <xdr:twoCellAnchor editAs="oneCell">
    <xdr:from>
      <xdr:col>6</xdr:col>
      <xdr:colOff>285750</xdr:colOff>
      <xdr:row>133</xdr:row>
      <xdr:rowOff>66675</xdr:rowOff>
    </xdr:from>
    <xdr:to>
      <xdr:col>10</xdr:col>
      <xdr:colOff>19050</xdr:colOff>
      <xdr:row>146</xdr:row>
      <xdr:rowOff>104775</xdr:rowOff>
    </xdr:to>
    <xdr:pic>
      <xdr:nvPicPr>
        <xdr:cNvPr id="23" name="Imagen 22">
          <a:extLst>
            <a:ext uri="{FF2B5EF4-FFF2-40B4-BE49-F238E27FC236}">
              <a16:creationId xmlns:a16="http://schemas.microsoft.com/office/drawing/2014/main" id="{695E6422-9521-42A1-8F5B-BC121500BC6D}"/>
            </a:ext>
          </a:extLst>
        </xdr:cNvPr>
        <xdr:cNvPicPr>
          <a:picLocks noChangeAspect="1"/>
        </xdr:cNvPicPr>
      </xdr:nvPicPr>
      <xdr:blipFill>
        <a:blip xmlns:r="http://schemas.openxmlformats.org/officeDocument/2006/relationships" r:embed="rId18"/>
        <a:stretch>
          <a:fillRect/>
        </a:stretch>
      </xdr:blipFill>
      <xdr:spPr>
        <a:xfrm>
          <a:off x="4888230" y="4364355"/>
          <a:ext cx="3482340" cy="2415540"/>
        </a:xfrm>
        <a:prstGeom prst="rect">
          <a:avLst/>
        </a:prstGeom>
      </xdr:spPr>
    </xdr:pic>
    <xdr:clientData/>
  </xdr:twoCellAnchor>
  <xdr:twoCellAnchor editAs="oneCell">
    <xdr:from>
      <xdr:col>0</xdr:col>
      <xdr:colOff>419100</xdr:colOff>
      <xdr:row>149</xdr:row>
      <xdr:rowOff>57150</xdr:rowOff>
    </xdr:from>
    <xdr:to>
      <xdr:col>4</xdr:col>
      <xdr:colOff>723900</xdr:colOff>
      <xdr:row>162</xdr:row>
      <xdr:rowOff>95250</xdr:rowOff>
    </xdr:to>
    <xdr:pic>
      <xdr:nvPicPr>
        <xdr:cNvPr id="24" name="Imagen 23">
          <a:extLst>
            <a:ext uri="{FF2B5EF4-FFF2-40B4-BE49-F238E27FC236}">
              <a16:creationId xmlns:a16="http://schemas.microsoft.com/office/drawing/2014/main" id="{554393B2-FEBB-4C30-847F-ED69D3AA0456}"/>
            </a:ext>
          </a:extLst>
        </xdr:cNvPr>
        <xdr:cNvPicPr>
          <a:picLocks noChangeAspect="1"/>
        </xdr:cNvPicPr>
      </xdr:nvPicPr>
      <xdr:blipFill>
        <a:blip xmlns:r="http://schemas.openxmlformats.org/officeDocument/2006/relationships" r:embed="rId19"/>
        <a:stretch>
          <a:fillRect/>
        </a:stretch>
      </xdr:blipFill>
      <xdr:spPr>
        <a:xfrm>
          <a:off x="419100" y="7296150"/>
          <a:ext cx="3474720" cy="2415540"/>
        </a:xfrm>
        <a:prstGeom prst="rect">
          <a:avLst/>
        </a:prstGeom>
      </xdr:spPr>
    </xdr:pic>
    <xdr:clientData/>
  </xdr:twoCellAnchor>
  <xdr:twoCellAnchor editAs="oneCell">
    <xdr:from>
      <xdr:col>6</xdr:col>
      <xdr:colOff>419100</xdr:colOff>
      <xdr:row>149</xdr:row>
      <xdr:rowOff>66675</xdr:rowOff>
    </xdr:from>
    <xdr:to>
      <xdr:col>10</xdr:col>
      <xdr:colOff>152400</xdr:colOff>
      <xdr:row>162</xdr:row>
      <xdr:rowOff>104775</xdr:rowOff>
    </xdr:to>
    <xdr:pic>
      <xdr:nvPicPr>
        <xdr:cNvPr id="25" name="Imagen 24">
          <a:extLst>
            <a:ext uri="{FF2B5EF4-FFF2-40B4-BE49-F238E27FC236}">
              <a16:creationId xmlns:a16="http://schemas.microsoft.com/office/drawing/2014/main" id="{E0F2D8B6-49FF-495D-831E-3FD7D73B4419}"/>
            </a:ext>
          </a:extLst>
        </xdr:cNvPr>
        <xdr:cNvPicPr>
          <a:picLocks noChangeAspect="1"/>
        </xdr:cNvPicPr>
      </xdr:nvPicPr>
      <xdr:blipFill>
        <a:blip xmlns:r="http://schemas.openxmlformats.org/officeDocument/2006/relationships" r:embed="rId20"/>
        <a:stretch>
          <a:fillRect/>
        </a:stretch>
      </xdr:blipFill>
      <xdr:spPr>
        <a:xfrm>
          <a:off x="5021580" y="7305675"/>
          <a:ext cx="3482340" cy="2415540"/>
        </a:xfrm>
        <a:prstGeom prst="rect">
          <a:avLst/>
        </a:prstGeom>
      </xdr:spPr>
    </xdr:pic>
    <xdr:clientData/>
  </xdr:twoCellAnchor>
  <xdr:twoCellAnchor editAs="oneCell">
    <xdr:from>
      <xdr:col>0</xdr:col>
      <xdr:colOff>266700</xdr:colOff>
      <xdr:row>166</xdr:row>
      <xdr:rowOff>38100</xdr:rowOff>
    </xdr:from>
    <xdr:to>
      <xdr:col>4</xdr:col>
      <xdr:colOff>579120</xdr:colOff>
      <xdr:row>179</xdr:row>
      <xdr:rowOff>83820</xdr:rowOff>
    </xdr:to>
    <xdr:pic>
      <xdr:nvPicPr>
        <xdr:cNvPr id="26" name="Imagen 25">
          <a:extLst>
            <a:ext uri="{FF2B5EF4-FFF2-40B4-BE49-F238E27FC236}">
              <a16:creationId xmlns:a16="http://schemas.microsoft.com/office/drawing/2014/main" id="{57C229AE-67A3-44B4-9254-42FA3ED5D642}"/>
            </a:ext>
          </a:extLst>
        </xdr:cNvPr>
        <xdr:cNvPicPr>
          <a:picLocks noChangeAspect="1"/>
        </xdr:cNvPicPr>
      </xdr:nvPicPr>
      <xdr:blipFill>
        <a:blip xmlns:r="http://schemas.openxmlformats.org/officeDocument/2006/relationships" r:embed="rId21"/>
        <a:stretch>
          <a:fillRect/>
        </a:stretch>
      </xdr:blipFill>
      <xdr:spPr>
        <a:xfrm>
          <a:off x="266700" y="10378440"/>
          <a:ext cx="3482340" cy="2423160"/>
        </a:xfrm>
        <a:prstGeom prst="rect">
          <a:avLst/>
        </a:prstGeom>
      </xdr:spPr>
    </xdr:pic>
    <xdr:clientData/>
  </xdr:twoCellAnchor>
  <xdr:twoCellAnchor editAs="oneCell">
    <xdr:from>
      <xdr:col>6</xdr:col>
      <xdr:colOff>409575</xdr:colOff>
      <xdr:row>166</xdr:row>
      <xdr:rowOff>95250</xdr:rowOff>
    </xdr:from>
    <xdr:to>
      <xdr:col>10</xdr:col>
      <xdr:colOff>142875</xdr:colOff>
      <xdr:row>179</xdr:row>
      <xdr:rowOff>133350</xdr:rowOff>
    </xdr:to>
    <xdr:pic>
      <xdr:nvPicPr>
        <xdr:cNvPr id="27" name="Imagen 26">
          <a:extLst>
            <a:ext uri="{FF2B5EF4-FFF2-40B4-BE49-F238E27FC236}">
              <a16:creationId xmlns:a16="http://schemas.microsoft.com/office/drawing/2014/main" id="{8E160651-5ECC-422B-A8BE-105883F51034}"/>
            </a:ext>
          </a:extLst>
        </xdr:cNvPr>
        <xdr:cNvPicPr>
          <a:picLocks noChangeAspect="1"/>
        </xdr:cNvPicPr>
      </xdr:nvPicPr>
      <xdr:blipFill>
        <a:blip xmlns:r="http://schemas.openxmlformats.org/officeDocument/2006/relationships" r:embed="rId22"/>
        <a:stretch>
          <a:fillRect/>
        </a:stretch>
      </xdr:blipFill>
      <xdr:spPr>
        <a:xfrm>
          <a:off x="5012055" y="10435590"/>
          <a:ext cx="3482340" cy="2415540"/>
        </a:xfrm>
        <a:prstGeom prst="rect">
          <a:avLst/>
        </a:prstGeom>
      </xdr:spPr>
    </xdr:pic>
    <xdr:clientData/>
  </xdr:twoCellAnchor>
  <xdr:twoCellAnchor editAs="oneCell">
    <xdr:from>
      <xdr:col>0</xdr:col>
      <xdr:colOff>342900</xdr:colOff>
      <xdr:row>182</xdr:row>
      <xdr:rowOff>66675</xdr:rowOff>
    </xdr:from>
    <xdr:to>
      <xdr:col>4</xdr:col>
      <xdr:colOff>647700</xdr:colOff>
      <xdr:row>195</xdr:row>
      <xdr:rowOff>104775</xdr:rowOff>
    </xdr:to>
    <xdr:pic>
      <xdr:nvPicPr>
        <xdr:cNvPr id="28" name="Imagen 27">
          <a:extLst>
            <a:ext uri="{FF2B5EF4-FFF2-40B4-BE49-F238E27FC236}">
              <a16:creationId xmlns:a16="http://schemas.microsoft.com/office/drawing/2014/main" id="{8A7FD974-C693-471F-8D67-A31F272ACC43}"/>
            </a:ext>
          </a:extLst>
        </xdr:cNvPr>
        <xdr:cNvPicPr>
          <a:picLocks noChangeAspect="1"/>
        </xdr:cNvPicPr>
      </xdr:nvPicPr>
      <xdr:blipFill>
        <a:blip xmlns:r="http://schemas.openxmlformats.org/officeDocument/2006/relationships" r:embed="rId23"/>
        <a:stretch>
          <a:fillRect/>
        </a:stretch>
      </xdr:blipFill>
      <xdr:spPr>
        <a:xfrm>
          <a:off x="342900" y="13348335"/>
          <a:ext cx="3474720" cy="2514600"/>
        </a:xfrm>
        <a:prstGeom prst="rect">
          <a:avLst/>
        </a:prstGeom>
      </xdr:spPr>
    </xdr:pic>
    <xdr:clientData/>
  </xdr:twoCellAnchor>
  <xdr:twoCellAnchor editAs="oneCell">
    <xdr:from>
      <xdr:col>6</xdr:col>
      <xdr:colOff>438150</xdr:colOff>
      <xdr:row>182</xdr:row>
      <xdr:rowOff>85725</xdr:rowOff>
    </xdr:from>
    <xdr:to>
      <xdr:col>10</xdr:col>
      <xdr:colOff>171450</xdr:colOff>
      <xdr:row>195</xdr:row>
      <xdr:rowOff>123825</xdr:rowOff>
    </xdr:to>
    <xdr:pic>
      <xdr:nvPicPr>
        <xdr:cNvPr id="29" name="Imagen 28">
          <a:extLst>
            <a:ext uri="{FF2B5EF4-FFF2-40B4-BE49-F238E27FC236}">
              <a16:creationId xmlns:a16="http://schemas.microsoft.com/office/drawing/2014/main" id="{EAB66FDE-6A6B-4F1B-8203-7ED07A2F1A2C}"/>
            </a:ext>
          </a:extLst>
        </xdr:cNvPr>
        <xdr:cNvPicPr>
          <a:picLocks noChangeAspect="1"/>
        </xdr:cNvPicPr>
      </xdr:nvPicPr>
      <xdr:blipFill>
        <a:blip xmlns:r="http://schemas.openxmlformats.org/officeDocument/2006/relationships" r:embed="rId24"/>
        <a:stretch>
          <a:fillRect/>
        </a:stretch>
      </xdr:blipFill>
      <xdr:spPr>
        <a:xfrm>
          <a:off x="5040630" y="13367385"/>
          <a:ext cx="3482340" cy="2514600"/>
        </a:xfrm>
        <a:prstGeom prst="rect">
          <a:avLst/>
        </a:prstGeom>
      </xdr:spPr>
    </xdr:pic>
    <xdr:clientData/>
  </xdr:twoCellAnchor>
  <xdr:twoCellAnchor editAs="oneCell">
    <xdr:from>
      <xdr:col>0</xdr:col>
      <xdr:colOff>304800</xdr:colOff>
      <xdr:row>198</xdr:row>
      <xdr:rowOff>76200</xdr:rowOff>
    </xdr:from>
    <xdr:to>
      <xdr:col>4</xdr:col>
      <xdr:colOff>609600</xdr:colOff>
      <xdr:row>211</xdr:row>
      <xdr:rowOff>114300</xdr:rowOff>
    </xdr:to>
    <xdr:pic>
      <xdr:nvPicPr>
        <xdr:cNvPr id="30" name="Imagen 29">
          <a:extLst>
            <a:ext uri="{FF2B5EF4-FFF2-40B4-BE49-F238E27FC236}">
              <a16:creationId xmlns:a16="http://schemas.microsoft.com/office/drawing/2014/main" id="{62656051-1765-403B-9620-C6BECCE299C4}"/>
            </a:ext>
          </a:extLst>
        </xdr:cNvPr>
        <xdr:cNvPicPr>
          <a:picLocks noChangeAspect="1"/>
        </xdr:cNvPicPr>
      </xdr:nvPicPr>
      <xdr:blipFill>
        <a:blip xmlns:r="http://schemas.openxmlformats.org/officeDocument/2006/relationships" r:embed="rId25"/>
        <a:stretch>
          <a:fillRect/>
        </a:stretch>
      </xdr:blipFill>
      <xdr:spPr>
        <a:xfrm>
          <a:off x="304800" y="16405860"/>
          <a:ext cx="3474720" cy="2514600"/>
        </a:xfrm>
        <a:prstGeom prst="rect">
          <a:avLst/>
        </a:prstGeom>
      </xdr:spPr>
    </xdr:pic>
    <xdr:clientData/>
  </xdr:twoCellAnchor>
  <xdr:twoCellAnchor editAs="oneCell">
    <xdr:from>
      <xdr:col>6</xdr:col>
      <xdr:colOff>457200</xdr:colOff>
      <xdr:row>198</xdr:row>
      <xdr:rowOff>57150</xdr:rowOff>
    </xdr:from>
    <xdr:to>
      <xdr:col>10</xdr:col>
      <xdr:colOff>190500</xdr:colOff>
      <xdr:row>211</xdr:row>
      <xdr:rowOff>95250</xdr:rowOff>
    </xdr:to>
    <xdr:pic>
      <xdr:nvPicPr>
        <xdr:cNvPr id="31" name="Imagen 30">
          <a:extLst>
            <a:ext uri="{FF2B5EF4-FFF2-40B4-BE49-F238E27FC236}">
              <a16:creationId xmlns:a16="http://schemas.microsoft.com/office/drawing/2014/main" id="{04238611-6F27-48B8-B807-5EA3C94BDFCB}"/>
            </a:ext>
          </a:extLst>
        </xdr:cNvPr>
        <xdr:cNvPicPr>
          <a:picLocks noChangeAspect="1"/>
        </xdr:cNvPicPr>
      </xdr:nvPicPr>
      <xdr:blipFill>
        <a:blip xmlns:r="http://schemas.openxmlformats.org/officeDocument/2006/relationships" r:embed="rId26"/>
        <a:stretch>
          <a:fillRect/>
        </a:stretch>
      </xdr:blipFill>
      <xdr:spPr>
        <a:xfrm>
          <a:off x="5059680" y="16386810"/>
          <a:ext cx="3482340" cy="2514600"/>
        </a:xfrm>
        <a:prstGeom prst="rect">
          <a:avLst/>
        </a:prstGeom>
      </xdr:spPr>
    </xdr:pic>
    <xdr:clientData/>
  </xdr:twoCellAnchor>
  <xdr:twoCellAnchor editAs="oneCell">
    <xdr:from>
      <xdr:col>0</xdr:col>
      <xdr:colOff>238125</xdr:colOff>
      <xdr:row>259</xdr:row>
      <xdr:rowOff>38100</xdr:rowOff>
    </xdr:from>
    <xdr:to>
      <xdr:col>4</xdr:col>
      <xdr:colOff>542925</xdr:colOff>
      <xdr:row>272</xdr:row>
      <xdr:rowOff>76200</xdr:rowOff>
    </xdr:to>
    <xdr:pic>
      <xdr:nvPicPr>
        <xdr:cNvPr id="32" name="Imagen 31">
          <a:extLst>
            <a:ext uri="{FF2B5EF4-FFF2-40B4-BE49-F238E27FC236}">
              <a16:creationId xmlns:a16="http://schemas.microsoft.com/office/drawing/2014/main" id="{89A46A57-17B9-4F59-B580-C28CBB7299DB}"/>
            </a:ext>
          </a:extLst>
        </xdr:cNvPr>
        <xdr:cNvPicPr>
          <a:picLocks noChangeAspect="1"/>
        </xdr:cNvPicPr>
      </xdr:nvPicPr>
      <xdr:blipFill>
        <a:blip xmlns:r="http://schemas.openxmlformats.org/officeDocument/2006/relationships" r:embed="rId27"/>
        <a:stretch>
          <a:fillRect/>
        </a:stretch>
      </xdr:blipFill>
      <xdr:spPr>
        <a:xfrm>
          <a:off x="238125" y="19415760"/>
          <a:ext cx="3474720" cy="2514600"/>
        </a:xfrm>
        <a:prstGeom prst="rect">
          <a:avLst/>
        </a:prstGeom>
      </xdr:spPr>
    </xdr:pic>
    <xdr:clientData/>
  </xdr:twoCellAnchor>
  <xdr:oneCellAnchor>
    <xdr:from>
      <xdr:col>6</xdr:col>
      <xdr:colOff>361950</xdr:colOff>
      <xdr:row>259</xdr:row>
      <xdr:rowOff>66675</xdr:rowOff>
    </xdr:from>
    <xdr:ext cx="3352800" cy="2514600"/>
    <xdr:pic>
      <xdr:nvPicPr>
        <xdr:cNvPr id="33" name="Imagen 32">
          <a:extLst>
            <a:ext uri="{FF2B5EF4-FFF2-40B4-BE49-F238E27FC236}">
              <a16:creationId xmlns:a16="http://schemas.microsoft.com/office/drawing/2014/main" id="{100EC2D1-C3BA-4809-9594-31043A239406}"/>
            </a:ext>
          </a:extLst>
        </xdr:cNvPr>
        <xdr:cNvPicPr>
          <a:picLocks noChangeAspect="1"/>
        </xdr:cNvPicPr>
      </xdr:nvPicPr>
      <xdr:blipFill>
        <a:blip xmlns:r="http://schemas.openxmlformats.org/officeDocument/2006/relationships" r:embed="rId28"/>
        <a:stretch>
          <a:fillRect/>
        </a:stretch>
      </xdr:blipFill>
      <xdr:spPr>
        <a:xfrm>
          <a:off x="4964430" y="19444335"/>
          <a:ext cx="3352800" cy="2514600"/>
        </a:xfrm>
        <a:prstGeom prst="rect">
          <a:avLst/>
        </a:prstGeom>
      </xdr:spPr>
    </xdr:pic>
    <xdr:clientData/>
  </xdr:oneCellAnchor>
  <xdr:twoCellAnchor editAs="oneCell">
    <xdr:from>
      <xdr:col>0</xdr:col>
      <xdr:colOff>257175</xdr:colOff>
      <xdr:row>275</xdr:row>
      <xdr:rowOff>57150</xdr:rowOff>
    </xdr:from>
    <xdr:to>
      <xdr:col>4</xdr:col>
      <xdr:colOff>561975</xdr:colOff>
      <xdr:row>288</xdr:row>
      <xdr:rowOff>95250</xdr:rowOff>
    </xdr:to>
    <xdr:pic>
      <xdr:nvPicPr>
        <xdr:cNvPr id="34" name="Imagen 33">
          <a:extLst>
            <a:ext uri="{FF2B5EF4-FFF2-40B4-BE49-F238E27FC236}">
              <a16:creationId xmlns:a16="http://schemas.microsoft.com/office/drawing/2014/main" id="{8064D577-BF6F-42E2-9629-C97B05D8C6AF}"/>
            </a:ext>
          </a:extLst>
        </xdr:cNvPr>
        <xdr:cNvPicPr>
          <a:picLocks noChangeAspect="1"/>
        </xdr:cNvPicPr>
      </xdr:nvPicPr>
      <xdr:blipFill>
        <a:blip xmlns:r="http://schemas.openxmlformats.org/officeDocument/2006/relationships" r:embed="rId29"/>
        <a:stretch>
          <a:fillRect/>
        </a:stretch>
      </xdr:blipFill>
      <xdr:spPr>
        <a:xfrm>
          <a:off x="257175" y="22482810"/>
          <a:ext cx="3474720" cy="2514600"/>
        </a:xfrm>
        <a:prstGeom prst="rect">
          <a:avLst/>
        </a:prstGeom>
      </xdr:spPr>
    </xdr:pic>
    <xdr:clientData/>
  </xdr:twoCellAnchor>
  <xdr:twoCellAnchor editAs="oneCell">
    <xdr:from>
      <xdr:col>6</xdr:col>
      <xdr:colOff>381000</xdr:colOff>
      <xdr:row>275</xdr:row>
      <xdr:rowOff>104775</xdr:rowOff>
    </xdr:from>
    <xdr:to>
      <xdr:col>10</xdr:col>
      <xdr:colOff>114300</xdr:colOff>
      <xdr:row>288</xdr:row>
      <xdr:rowOff>142875</xdr:rowOff>
    </xdr:to>
    <xdr:pic>
      <xdr:nvPicPr>
        <xdr:cNvPr id="35" name="Imagen 34">
          <a:extLst>
            <a:ext uri="{FF2B5EF4-FFF2-40B4-BE49-F238E27FC236}">
              <a16:creationId xmlns:a16="http://schemas.microsoft.com/office/drawing/2014/main" id="{980D9860-90D2-426B-BC44-6A36D962DDC7}"/>
            </a:ext>
          </a:extLst>
        </xdr:cNvPr>
        <xdr:cNvPicPr>
          <a:picLocks noChangeAspect="1"/>
        </xdr:cNvPicPr>
      </xdr:nvPicPr>
      <xdr:blipFill>
        <a:blip xmlns:r="http://schemas.openxmlformats.org/officeDocument/2006/relationships" r:embed="rId30"/>
        <a:stretch>
          <a:fillRect/>
        </a:stretch>
      </xdr:blipFill>
      <xdr:spPr>
        <a:xfrm>
          <a:off x="4983480" y="22530435"/>
          <a:ext cx="3482340" cy="2514600"/>
        </a:xfrm>
        <a:prstGeom prst="rect">
          <a:avLst/>
        </a:prstGeom>
      </xdr:spPr>
    </xdr:pic>
    <xdr:clientData/>
  </xdr:twoCellAnchor>
  <xdr:twoCellAnchor editAs="oneCell">
    <xdr:from>
      <xdr:col>6</xdr:col>
      <xdr:colOff>400050</xdr:colOff>
      <xdr:row>292</xdr:row>
      <xdr:rowOff>19050</xdr:rowOff>
    </xdr:from>
    <xdr:to>
      <xdr:col>10</xdr:col>
      <xdr:colOff>133350</xdr:colOff>
      <xdr:row>305</xdr:row>
      <xdr:rowOff>57150</xdr:rowOff>
    </xdr:to>
    <xdr:pic>
      <xdr:nvPicPr>
        <xdr:cNvPr id="36" name="Imagen 35">
          <a:extLst>
            <a:ext uri="{FF2B5EF4-FFF2-40B4-BE49-F238E27FC236}">
              <a16:creationId xmlns:a16="http://schemas.microsoft.com/office/drawing/2014/main" id="{C1505E2A-2F26-4DBE-A18C-162FA974219B}"/>
            </a:ext>
          </a:extLst>
        </xdr:cNvPr>
        <xdr:cNvPicPr>
          <a:picLocks noChangeAspect="1"/>
        </xdr:cNvPicPr>
      </xdr:nvPicPr>
      <xdr:blipFill>
        <a:blip xmlns:r="http://schemas.openxmlformats.org/officeDocument/2006/relationships" r:embed="rId31"/>
        <a:stretch>
          <a:fillRect/>
        </a:stretch>
      </xdr:blipFill>
      <xdr:spPr>
        <a:xfrm>
          <a:off x="5002530" y="25561290"/>
          <a:ext cx="3482340" cy="2514600"/>
        </a:xfrm>
        <a:prstGeom prst="rect">
          <a:avLst/>
        </a:prstGeom>
      </xdr:spPr>
    </xdr:pic>
    <xdr:clientData/>
  </xdr:twoCellAnchor>
  <xdr:twoCellAnchor editAs="oneCell">
    <xdr:from>
      <xdr:col>0</xdr:col>
      <xdr:colOff>209550</xdr:colOff>
      <xdr:row>292</xdr:row>
      <xdr:rowOff>85725</xdr:rowOff>
    </xdr:from>
    <xdr:to>
      <xdr:col>4</xdr:col>
      <xdr:colOff>514350</xdr:colOff>
      <xdr:row>305</xdr:row>
      <xdr:rowOff>123825</xdr:rowOff>
    </xdr:to>
    <xdr:pic>
      <xdr:nvPicPr>
        <xdr:cNvPr id="37" name="Imagen 36">
          <a:extLst>
            <a:ext uri="{FF2B5EF4-FFF2-40B4-BE49-F238E27FC236}">
              <a16:creationId xmlns:a16="http://schemas.microsoft.com/office/drawing/2014/main" id="{0C96E472-EF31-4C4F-9EE3-0B9006ABFD73}"/>
            </a:ext>
          </a:extLst>
        </xdr:cNvPr>
        <xdr:cNvPicPr>
          <a:picLocks noChangeAspect="1"/>
        </xdr:cNvPicPr>
      </xdr:nvPicPr>
      <xdr:blipFill>
        <a:blip xmlns:r="http://schemas.openxmlformats.org/officeDocument/2006/relationships" r:embed="rId32"/>
        <a:stretch>
          <a:fillRect/>
        </a:stretch>
      </xdr:blipFill>
      <xdr:spPr>
        <a:xfrm>
          <a:off x="209550" y="25627965"/>
          <a:ext cx="3474720" cy="2514600"/>
        </a:xfrm>
        <a:prstGeom prst="rect">
          <a:avLst/>
        </a:prstGeom>
      </xdr:spPr>
    </xdr:pic>
    <xdr:clientData/>
  </xdr:twoCellAnchor>
  <xdr:twoCellAnchor editAs="oneCell">
    <xdr:from>
      <xdr:col>0</xdr:col>
      <xdr:colOff>190500</xdr:colOff>
      <xdr:row>309</xdr:row>
      <xdr:rowOff>95250</xdr:rowOff>
    </xdr:from>
    <xdr:to>
      <xdr:col>4</xdr:col>
      <xdr:colOff>495300</xdr:colOff>
      <xdr:row>322</xdr:row>
      <xdr:rowOff>133350</xdr:rowOff>
    </xdr:to>
    <xdr:pic>
      <xdr:nvPicPr>
        <xdr:cNvPr id="38" name="Imagen 37">
          <a:extLst>
            <a:ext uri="{FF2B5EF4-FFF2-40B4-BE49-F238E27FC236}">
              <a16:creationId xmlns:a16="http://schemas.microsoft.com/office/drawing/2014/main" id="{A2026812-7751-430B-A931-A8169BC3B582}"/>
            </a:ext>
          </a:extLst>
        </xdr:cNvPr>
        <xdr:cNvPicPr>
          <a:picLocks noChangeAspect="1"/>
        </xdr:cNvPicPr>
      </xdr:nvPicPr>
      <xdr:blipFill>
        <a:blip xmlns:r="http://schemas.openxmlformats.org/officeDocument/2006/relationships" r:embed="rId33"/>
        <a:stretch>
          <a:fillRect/>
        </a:stretch>
      </xdr:blipFill>
      <xdr:spPr>
        <a:xfrm>
          <a:off x="190500" y="28754070"/>
          <a:ext cx="3474720" cy="2514600"/>
        </a:xfrm>
        <a:prstGeom prst="rect">
          <a:avLst/>
        </a:prstGeom>
      </xdr:spPr>
    </xdr:pic>
    <xdr:clientData/>
  </xdr:twoCellAnchor>
  <xdr:twoCellAnchor editAs="oneCell">
    <xdr:from>
      <xdr:col>6</xdr:col>
      <xdr:colOff>342900</xdr:colOff>
      <xdr:row>309</xdr:row>
      <xdr:rowOff>85725</xdr:rowOff>
    </xdr:from>
    <xdr:to>
      <xdr:col>10</xdr:col>
      <xdr:colOff>76200</xdr:colOff>
      <xdr:row>322</xdr:row>
      <xdr:rowOff>123825</xdr:rowOff>
    </xdr:to>
    <xdr:pic>
      <xdr:nvPicPr>
        <xdr:cNvPr id="39" name="Imagen 38">
          <a:extLst>
            <a:ext uri="{FF2B5EF4-FFF2-40B4-BE49-F238E27FC236}">
              <a16:creationId xmlns:a16="http://schemas.microsoft.com/office/drawing/2014/main" id="{21C61199-2D10-4F95-9E69-75519F8CDDDF}"/>
            </a:ext>
          </a:extLst>
        </xdr:cNvPr>
        <xdr:cNvPicPr>
          <a:picLocks noChangeAspect="1"/>
        </xdr:cNvPicPr>
      </xdr:nvPicPr>
      <xdr:blipFill>
        <a:blip xmlns:r="http://schemas.openxmlformats.org/officeDocument/2006/relationships" r:embed="rId34"/>
        <a:stretch>
          <a:fillRect/>
        </a:stretch>
      </xdr:blipFill>
      <xdr:spPr>
        <a:xfrm>
          <a:off x="4945380" y="28744545"/>
          <a:ext cx="3482340" cy="2514600"/>
        </a:xfrm>
        <a:prstGeom prst="rect">
          <a:avLst/>
        </a:prstGeom>
      </xdr:spPr>
    </xdr:pic>
    <xdr:clientData/>
  </xdr:twoCellAnchor>
  <xdr:twoCellAnchor editAs="oneCell">
    <xdr:from>
      <xdr:col>0</xdr:col>
      <xdr:colOff>200025</xdr:colOff>
      <xdr:row>326</xdr:row>
      <xdr:rowOff>85725</xdr:rowOff>
    </xdr:from>
    <xdr:to>
      <xdr:col>4</xdr:col>
      <xdr:colOff>512445</xdr:colOff>
      <xdr:row>339</xdr:row>
      <xdr:rowOff>123825</xdr:rowOff>
    </xdr:to>
    <xdr:pic>
      <xdr:nvPicPr>
        <xdr:cNvPr id="40" name="Imagen 39">
          <a:extLst>
            <a:ext uri="{FF2B5EF4-FFF2-40B4-BE49-F238E27FC236}">
              <a16:creationId xmlns:a16="http://schemas.microsoft.com/office/drawing/2014/main" id="{FDBFCF31-AC82-40B1-B503-C6C8A58F159A}"/>
            </a:ext>
          </a:extLst>
        </xdr:cNvPr>
        <xdr:cNvPicPr>
          <a:picLocks noChangeAspect="1"/>
        </xdr:cNvPicPr>
      </xdr:nvPicPr>
      <xdr:blipFill>
        <a:blip xmlns:r="http://schemas.openxmlformats.org/officeDocument/2006/relationships" r:embed="rId35"/>
        <a:stretch>
          <a:fillRect/>
        </a:stretch>
      </xdr:blipFill>
      <xdr:spPr>
        <a:xfrm>
          <a:off x="200025" y="31861125"/>
          <a:ext cx="3482340" cy="2415540"/>
        </a:xfrm>
        <a:prstGeom prst="rect">
          <a:avLst/>
        </a:prstGeom>
      </xdr:spPr>
    </xdr:pic>
    <xdr:clientData/>
  </xdr:twoCellAnchor>
  <xdr:twoCellAnchor editAs="oneCell">
    <xdr:from>
      <xdr:col>6</xdr:col>
      <xdr:colOff>342900</xdr:colOff>
      <xdr:row>326</xdr:row>
      <xdr:rowOff>85725</xdr:rowOff>
    </xdr:from>
    <xdr:to>
      <xdr:col>10</xdr:col>
      <xdr:colOff>76200</xdr:colOff>
      <xdr:row>339</xdr:row>
      <xdr:rowOff>123825</xdr:rowOff>
    </xdr:to>
    <xdr:pic>
      <xdr:nvPicPr>
        <xdr:cNvPr id="41" name="Imagen 40">
          <a:extLst>
            <a:ext uri="{FF2B5EF4-FFF2-40B4-BE49-F238E27FC236}">
              <a16:creationId xmlns:a16="http://schemas.microsoft.com/office/drawing/2014/main" id="{4C69E98C-7ABC-499F-9DF4-DED9D172AA86}"/>
            </a:ext>
          </a:extLst>
        </xdr:cNvPr>
        <xdr:cNvPicPr>
          <a:picLocks noChangeAspect="1"/>
        </xdr:cNvPicPr>
      </xdr:nvPicPr>
      <xdr:blipFill>
        <a:blip xmlns:r="http://schemas.openxmlformats.org/officeDocument/2006/relationships" r:embed="rId36"/>
        <a:stretch>
          <a:fillRect/>
        </a:stretch>
      </xdr:blipFill>
      <xdr:spPr>
        <a:xfrm>
          <a:off x="4945380" y="31861125"/>
          <a:ext cx="3482340" cy="2415540"/>
        </a:xfrm>
        <a:prstGeom prst="rect">
          <a:avLst/>
        </a:prstGeom>
      </xdr:spPr>
    </xdr:pic>
    <xdr:clientData/>
  </xdr:twoCellAnchor>
  <xdr:twoCellAnchor editAs="oneCell">
    <xdr:from>
      <xdr:col>0</xdr:col>
      <xdr:colOff>428625</xdr:colOff>
      <xdr:row>492</xdr:row>
      <xdr:rowOff>76200</xdr:rowOff>
    </xdr:from>
    <xdr:to>
      <xdr:col>4</xdr:col>
      <xdr:colOff>733425</xdr:colOff>
      <xdr:row>505</xdr:row>
      <xdr:rowOff>114300</xdr:rowOff>
    </xdr:to>
    <xdr:pic>
      <xdr:nvPicPr>
        <xdr:cNvPr id="42" name="Imagen 41">
          <a:extLst>
            <a:ext uri="{FF2B5EF4-FFF2-40B4-BE49-F238E27FC236}">
              <a16:creationId xmlns:a16="http://schemas.microsoft.com/office/drawing/2014/main" id="{8906D02C-7F7B-41ED-A827-C9CFCCE8D512}"/>
            </a:ext>
          </a:extLst>
        </xdr:cNvPr>
        <xdr:cNvPicPr>
          <a:picLocks noChangeAspect="1"/>
        </xdr:cNvPicPr>
      </xdr:nvPicPr>
      <xdr:blipFill>
        <a:blip xmlns:r="http://schemas.openxmlformats.org/officeDocument/2006/relationships" r:embed="rId37"/>
        <a:stretch>
          <a:fillRect/>
        </a:stretch>
      </xdr:blipFill>
      <xdr:spPr>
        <a:xfrm>
          <a:off x="428625" y="59253120"/>
          <a:ext cx="3474720" cy="2415540"/>
        </a:xfrm>
        <a:prstGeom prst="rect">
          <a:avLst/>
        </a:prstGeom>
      </xdr:spPr>
    </xdr:pic>
    <xdr:clientData/>
  </xdr:twoCellAnchor>
  <xdr:twoCellAnchor editAs="oneCell">
    <xdr:from>
      <xdr:col>6</xdr:col>
      <xdr:colOff>314325</xdr:colOff>
      <xdr:row>492</xdr:row>
      <xdr:rowOff>104775</xdr:rowOff>
    </xdr:from>
    <xdr:to>
      <xdr:col>10</xdr:col>
      <xdr:colOff>47625</xdr:colOff>
      <xdr:row>505</xdr:row>
      <xdr:rowOff>142875</xdr:rowOff>
    </xdr:to>
    <xdr:pic>
      <xdr:nvPicPr>
        <xdr:cNvPr id="43" name="Imagen 42">
          <a:extLst>
            <a:ext uri="{FF2B5EF4-FFF2-40B4-BE49-F238E27FC236}">
              <a16:creationId xmlns:a16="http://schemas.microsoft.com/office/drawing/2014/main" id="{444EFD0D-4BE3-4FD2-8591-BF785551B7EF}"/>
            </a:ext>
          </a:extLst>
        </xdr:cNvPr>
        <xdr:cNvPicPr>
          <a:picLocks noChangeAspect="1"/>
        </xdr:cNvPicPr>
      </xdr:nvPicPr>
      <xdr:blipFill>
        <a:blip xmlns:r="http://schemas.openxmlformats.org/officeDocument/2006/relationships" r:embed="rId38"/>
        <a:stretch>
          <a:fillRect/>
        </a:stretch>
      </xdr:blipFill>
      <xdr:spPr>
        <a:xfrm>
          <a:off x="4916805" y="59281695"/>
          <a:ext cx="3482340" cy="2415540"/>
        </a:xfrm>
        <a:prstGeom prst="rect">
          <a:avLst/>
        </a:prstGeom>
      </xdr:spPr>
    </xdr:pic>
    <xdr:clientData/>
  </xdr:twoCellAnchor>
  <xdr:twoCellAnchor editAs="oneCell">
    <xdr:from>
      <xdr:col>0</xdr:col>
      <xdr:colOff>352425</xdr:colOff>
      <xdr:row>540</xdr:row>
      <xdr:rowOff>114300</xdr:rowOff>
    </xdr:from>
    <xdr:to>
      <xdr:col>4</xdr:col>
      <xdr:colOff>626745</xdr:colOff>
      <xdr:row>553</xdr:row>
      <xdr:rowOff>129540</xdr:rowOff>
    </xdr:to>
    <xdr:pic>
      <xdr:nvPicPr>
        <xdr:cNvPr id="44" name="Imagen 43">
          <a:extLst>
            <a:ext uri="{FF2B5EF4-FFF2-40B4-BE49-F238E27FC236}">
              <a16:creationId xmlns:a16="http://schemas.microsoft.com/office/drawing/2014/main" id="{5663ECB6-AB3E-4439-86C0-0F106E062D27}"/>
            </a:ext>
          </a:extLst>
        </xdr:cNvPr>
        <xdr:cNvPicPr>
          <a:picLocks noChangeAspect="1"/>
        </xdr:cNvPicPr>
      </xdr:nvPicPr>
      <xdr:blipFill>
        <a:blip xmlns:r="http://schemas.openxmlformats.org/officeDocument/2006/relationships" r:embed="rId39"/>
        <a:stretch>
          <a:fillRect/>
        </a:stretch>
      </xdr:blipFill>
      <xdr:spPr>
        <a:xfrm>
          <a:off x="352425" y="68115180"/>
          <a:ext cx="3444240" cy="2392680"/>
        </a:xfrm>
        <a:prstGeom prst="rect">
          <a:avLst/>
        </a:prstGeom>
      </xdr:spPr>
    </xdr:pic>
    <xdr:clientData/>
  </xdr:twoCellAnchor>
  <xdr:twoCellAnchor editAs="oneCell">
    <xdr:from>
      <xdr:col>6</xdr:col>
      <xdr:colOff>390525</xdr:colOff>
      <xdr:row>540</xdr:row>
      <xdr:rowOff>85725</xdr:rowOff>
    </xdr:from>
    <xdr:to>
      <xdr:col>10</xdr:col>
      <xdr:colOff>93345</xdr:colOff>
      <xdr:row>553</xdr:row>
      <xdr:rowOff>100965</xdr:rowOff>
    </xdr:to>
    <xdr:pic>
      <xdr:nvPicPr>
        <xdr:cNvPr id="45" name="Imagen 44">
          <a:extLst>
            <a:ext uri="{FF2B5EF4-FFF2-40B4-BE49-F238E27FC236}">
              <a16:creationId xmlns:a16="http://schemas.microsoft.com/office/drawing/2014/main" id="{84744DE3-829A-4EA8-A5E9-EC0590E4FDE8}"/>
            </a:ext>
          </a:extLst>
        </xdr:cNvPr>
        <xdr:cNvPicPr>
          <a:picLocks noChangeAspect="1"/>
        </xdr:cNvPicPr>
      </xdr:nvPicPr>
      <xdr:blipFill>
        <a:blip xmlns:r="http://schemas.openxmlformats.org/officeDocument/2006/relationships" r:embed="rId40"/>
        <a:stretch>
          <a:fillRect/>
        </a:stretch>
      </xdr:blipFill>
      <xdr:spPr>
        <a:xfrm>
          <a:off x="4993005" y="68086605"/>
          <a:ext cx="3451860" cy="2392680"/>
        </a:xfrm>
        <a:prstGeom prst="rect">
          <a:avLst/>
        </a:prstGeom>
      </xdr:spPr>
    </xdr:pic>
    <xdr:clientData/>
  </xdr:twoCellAnchor>
  <xdr:twoCellAnchor editAs="oneCell">
    <xdr:from>
      <xdr:col>0</xdr:col>
      <xdr:colOff>266700</xdr:colOff>
      <xdr:row>572</xdr:row>
      <xdr:rowOff>76200</xdr:rowOff>
    </xdr:from>
    <xdr:to>
      <xdr:col>4</xdr:col>
      <xdr:colOff>571500</xdr:colOff>
      <xdr:row>585</xdr:row>
      <xdr:rowOff>114300</xdr:rowOff>
    </xdr:to>
    <xdr:pic>
      <xdr:nvPicPr>
        <xdr:cNvPr id="46" name="Imagen 45">
          <a:extLst>
            <a:ext uri="{FF2B5EF4-FFF2-40B4-BE49-F238E27FC236}">
              <a16:creationId xmlns:a16="http://schemas.microsoft.com/office/drawing/2014/main" id="{A579F70B-AF36-434A-BFA0-00E92D801534}"/>
            </a:ext>
          </a:extLst>
        </xdr:cNvPr>
        <xdr:cNvPicPr>
          <a:picLocks noChangeAspect="1"/>
        </xdr:cNvPicPr>
      </xdr:nvPicPr>
      <xdr:blipFill>
        <a:blip xmlns:r="http://schemas.openxmlformats.org/officeDocument/2006/relationships" r:embed="rId41"/>
        <a:stretch>
          <a:fillRect/>
        </a:stretch>
      </xdr:blipFill>
      <xdr:spPr>
        <a:xfrm>
          <a:off x="266700" y="74142600"/>
          <a:ext cx="3474720" cy="2415540"/>
        </a:xfrm>
        <a:prstGeom prst="rect">
          <a:avLst/>
        </a:prstGeom>
      </xdr:spPr>
    </xdr:pic>
    <xdr:clientData/>
  </xdr:twoCellAnchor>
  <xdr:twoCellAnchor editAs="oneCell">
    <xdr:from>
      <xdr:col>6</xdr:col>
      <xdr:colOff>371475</xdr:colOff>
      <xdr:row>572</xdr:row>
      <xdr:rowOff>57150</xdr:rowOff>
    </xdr:from>
    <xdr:to>
      <xdr:col>10</xdr:col>
      <xdr:colOff>104775</xdr:colOff>
      <xdr:row>585</xdr:row>
      <xdr:rowOff>95250</xdr:rowOff>
    </xdr:to>
    <xdr:pic>
      <xdr:nvPicPr>
        <xdr:cNvPr id="47" name="Imagen 46">
          <a:extLst>
            <a:ext uri="{FF2B5EF4-FFF2-40B4-BE49-F238E27FC236}">
              <a16:creationId xmlns:a16="http://schemas.microsoft.com/office/drawing/2014/main" id="{6853FDD2-0CD8-4D53-A077-8F9AAC79EEB1}"/>
            </a:ext>
          </a:extLst>
        </xdr:cNvPr>
        <xdr:cNvPicPr>
          <a:picLocks noChangeAspect="1"/>
        </xdr:cNvPicPr>
      </xdr:nvPicPr>
      <xdr:blipFill>
        <a:blip xmlns:r="http://schemas.openxmlformats.org/officeDocument/2006/relationships" r:embed="rId42"/>
        <a:stretch>
          <a:fillRect/>
        </a:stretch>
      </xdr:blipFill>
      <xdr:spPr>
        <a:xfrm>
          <a:off x="4973955" y="74123550"/>
          <a:ext cx="3482340" cy="2415540"/>
        </a:xfrm>
        <a:prstGeom prst="rect">
          <a:avLst/>
        </a:prstGeom>
      </xdr:spPr>
    </xdr:pic>
    <xdr:clientData/>
  </xdr:twoCellAnchor>
  <xdr:twoCellAnchor editAs="oneCell">
    <xdr:from>
      <xdr:col>0</xdr:col>
      <xdr:colOff>495300</xdr:colOff>
      <xdr:row>342</xdr:row>
      <xdr:rowOff>66675</xdr:rowOff>
    </xdr:from>
    <xdr:to>
      <xdr:col>4</xdr:col>
      <xdr:colOff>800100</xdr:colOff>
      <xdr:row>355</xdr:row>
      <xdr:rowOff>104775</xdr:rowOff>
    </xdr:to>
    <xdr:pic>
      <xdr:nvPicPr>
        <xdr:cNvPr id="48" name="Imagen 47">
          <a:extLst>
            <a:ext uri="{FF2B5EF4-FFF2-40B4-BE49-F238E27FC236}">
              <a16:creationId xmlns:a16="http://schemas.microsoft.com/office/drawing/2014/main" id="{4884400B-C8AB-46FD-837B-76C6F6A73FE2}"/>
            </a:ext>
          </a:extLst>
        </xdr:cNvPr>
        <xdr:cNvPicPr>
          <a:picLocks noChangeAspect="1"/>
        </xdr:cNvPicPr>
      </xdr:nvPicPr>
      <xdr:blipFill>
        <a:blip xmlns:r="http://schemas.openxmlformats.org/officeDocument/2006/relationships" r:embed="rId43"/>
        <a:stretch>
          <a:fillRect/>
        </a:stretch>
      </xdr:blipFill>
      <xdr:spPr>
        <a:xfrm>
          <a:off x="495300" y="34783395"/>
          <a:ext cx="3474720" cy="2415540"/>
        </a:xfrm>
        <a:prstGeom prst="rect">
          <a:avLst/>
        </a:prstGeom>
      </xdr:spPr>
    </xdr:pic>
    <xdr:clientData/>
  </xdr:twoCellAnchor>
  <xdr:twoCellAnchor editAs="oneCell">
    <xdr:from>
      <xdr:col>6</xdr:col>
      <xdr:colOff>352425</xdr:colOff>
      <xdr:row>342</xdr:row>
      <xdr:rowOff>66675</xdr:rowOff>
    </xdr:from>
    <xdr:to>
      <xdr:col>10</xdr:col>
      <xdr:colOff>85725</xdr:colOff>
      <xdr:row>355</xdr:row>
      <xdr:rowOff>104775</xdr:rowOff>
    </xdr:to>
    <xdr:pic>
      <xdr:nvPicPr>
        <xdr:cNvPr id="49" name="Imagen 48">
          <a:extLst>
            <a:ext uri="{FF2B5EF4-FFF2-40B4-BE49-F238E27FC236}">
              <a16:creationId xmlns:a16="http://schemas.microsoft.com/office/drawing/2014/main" id="{394912A7-F427-4D75-890A-5AEAD768E9D2}"/>
            </a:ext>
          </a:extLst>
        </xdr:cNvPr>
        <xdr:cNvPicPr>
          <a:picLocks noChangeAspect="1"/>
        </xdr:cNvPicPr>
      </xdr:nvPicPr>
      <xdr:blipFill>
        <a:blip xmlns:r="http://schemas.openxmlformats.org/officeDocument/2006/relationships" r:embed="rId44"/>
        <a:stretch>
          <a:fillRect/>
        </a:stretch>
      </xdr:blipFill>
      <xdr:spPr>
        <a:xfrm>
          <a:off x="4954905" y="34783395"/>
          <a:ext cx="3482340" cy="2415540"/>
        </a:xfrm>
        <a:prstGeom prst="rect">
          <a:avLst/>
        </a:prstGeom>
      </xdr:spPr>
    </xdr:pic>
    <xdr:clientData/>
  </xdr:twoCellAnchor>
  <xdr:twoCellAnchor editAs="oneCell">
    <xdr:from>
      <xdr:col>0</xdr:col>
      <xdr:colOff>333375</xdr:colOff>
      <xdr:row>358</xdr:row>
      <xdr:rowOff>66675</xdr:rowOff>
    </xdr:from>
    <xdr:to>
      <xdr:col>4</xdr:col>
      <xdr:colOff>638175</xdr:colOff>
      <xdr:row>371</xdr:row>
      <xdr:rowOff>104775</xdr:rowOff>
    </xdr:to>
    <xdr:pic>
      <xdr:nvPicPr>
        <xdr:cNvPr id="50" name="Imagen 49">
          <a:extLst>
            <a:ext uri="{FF2B5EF4-FFF2-40B4-BE49-F238E27FC236}">
              <a16:creationId xmlns:a16="http://schemas.microsoft.com/office/drawing/2014/main" id="{B3CE76C3-5AA1-4509-BCA0-F39A8F819703}"/>
            </a:ext>
          </a:extLst>
        </xdr:cNvPr>
        <xdr:cNvPicPr>
          <a:picLocks noChangeAspect="1"/>
        </xdr:cNvPicPr>
      </xdr:nvPicPr>
      <xdr:blipFill>
        <a:blip xmlns:r="http://schemas.openxmlformats.org/officeDocument/2006/relationships" r:embed="rId45"/>
        <a:stretch>
          <a:fillRect/>
        </a:stretch>
      </xdr:blipFill>
      <xdr:spPr>
        <a:xfrm>
          <a:off x="333375" y="37930455"/>
          <a:ext cx="3474720" cy="2415540"/>
        </a:xfrm>
        <a:prstGeom prst="rect">
          <a:avLst/>
        </a:prstGeom>
      </xdr:spPr>
    </xdr:pic>
    <xdr:clientData/>
  </xdr:twoCellAnchor>
  <xdr:twoCellAnchor editAs="oneCell">
    <xdr:from>
      <xdr:col>6</xdr:col>
      <xdr:colOff>333375</xdr:colOff>
      <xdr:row>358</xdr:row>
      <xdr:rowOff>76200</xdr:rowOff>
    </xdr:from>
    <xdr:to>
      <xdr:col>10</xdr:col>
      <xdr:colOff>59055</xdr:colOff>
      <xdr:row>371</xdr:row>
      <xdr:rowOff>106680</xdr:rowOff>
    </xdr:to>
    <xdr:pic>
      <xdr:nvPicPr>
        <xdr:cNvPr id="51" name="Imagen 50">
          <a:extLst>
            <a:ext uri="{FF2B5EF4-FFF2-40B4-BE49-F238E27FC236}">
              <a16:creationId xmlns:a16="http://schemas.microsoft.com/office/drawing/2014/main" id="{AC734B23-3264-4CF6-B58E-BC13FE7BD96F}"/>
            </a:ext>
          </a:extLst>
        </xdr:cNvPr>
        <xdr:cNvPicPr>
          <a:picLocks noChangeAspect="1"/>
        </xdr:cNvPicPr>
      </xdr:nvPicPr>
      <xdr:blipFill>
        <a:blip xmlns:r="http://schemas.openxmlformats.org/officeDocument/2006/relationships" r:embed="rId46"/>
        <a:stretch>
          <a:fillRect/>
        </a:stretch>
      </xdr:blipFill>
      <xdr:spPr>
        <a:xfrm>
          <a:off x="4935855" y="37939980"/>
          <a:ext cx="3474720" cy="2407920"/>
        </a:xfrm>
        <a:prstGeom prst="rect">
          <a:avLst/>
        </a:prstGeom>
      </xdr:spPr>
    </xdr:pic>
    <xdr:clientData/>
  </xdr:twoCellAnchor>
  <xdr:twoCellAnchor editAs="oneCell">
    <xdr:from>
      <xdr:col>0</xdr:col>
      <xdr:colOff>228600</xdr:colOff>
      <xdr:row>374</xdr:row>
      <xdr:rowOff>28575</xdr:rowOff>
    </xdr:from>
    <xdr:to>
      <xdr:col>4</xdr:col>
      <xdr:colOff>542925</xdr:colOff>
      <xdr:row>387</xdr:row>
      <xdr:rowOff>76200</xdr:rowOff>
    </xdr:to>
    <xdr:pic>
      <xdr:nvPicPr>
        <xdr:cNvPr id="52" name="Imagen 51">
          <a:extLst>
            <a:ext uri="{FF2B5EF4-FFF2-40B4-BE49-F238E27FC236}">
              <a16:creationId xmlns:a16="http://schemas.microsoft.com/office/drawing/2014/main" id="{19FEF167-D28B-4164-94ED-B83215A125EB}"/>
            </a:ext>
          </a:extLst>
        </xdr:cNvPr>
        <xdr:cNvPicPr>
          <a:picLocks noChangeAspect="1"/>
        </xdr:cNvPicPr>
      </xdr:nvPicPr>
      <xdr:blipFill>
        <a:blip xmlns:r="http://schemas.openxmlformats.org/officeDocument/2006/relationships" r:embed="rId47"/>
        <a:stretch>
          <a:fillRect/>
        </a:stretch>
      </xdr:blipFill>
      <xdr:spPr>
        <a:xfrm>
          <a:off x="228600" y="40833675"/>
          <a:ext cx="3484245" cy="2425065"/>
        </a:xfrm>
        <a:prstGeom prst="rect">
          <a:avLst/>
        </a:prstGeom>
      </xdr:spPr>
    </xdr:pic>
    <xdr:clientData/>
  </xdr:twoCellAnchor>
  <xdr:twoCellAnchor editAs="oneCell">
    <xdr:from>
      <xdr:col>6</xdr:col>
      <xdr:colOff>314325</xdr:colOff>
      <xdr:row>374</xdr:row>
      <xdr:rowOff>76200</xdr:rowOff>
    </xdr:from>
    <xdr:to>
      <xdr:col>10</xdr:col>
      <xdr:colOff>55245</xdr:colOff>
      <xdr:row>387</xdr:row>
      <xdr:rowOff>114300</xdr:rowOff>
    </xdr:to>
    <xdr:pic>
      <xdr:nvPicPr>
        <xdr:cNvPr id="53" name="Imagen 52">
          <a:extLst>
            <a:ext uri="{FF2B5EF4-FFF2-40B4-BE49-F238E27FC236}">
              <a16:creationId xmlns:a16="http://schemas.microsoft.com/office/drawing/2014/main" id="{41C11DA9-84EC-4730-A8D9-0BC4189E0C71}"/>
            </a:ext>
          </a:extLst>
        </xdr:cNvPr>
        <xdr:cNvPicPr>
          <a:picLocks noChangeAspect="1"/>
        </xdr:cNvPicPr>
      </xdr:nvPicPr>
      <xdr:blipFill>
        <a:blip xmlns:r="http://schemas.openxmlformats.org/officeDocument/2006/relationships" r:embed="rId48"/>
        <a:stretch>
          <a:fillRect/>
        </a:stretch>
      </xdr:blipFill>
      <xdr:spPr>
        <a:xfrm>
          <a:off x="4916805" y="40881300"/>
          <a:ext cx="3489960" cy="2415540"/>
        </a:xfrm>
        <a:prstGeom prst="rect">
          <a:avLst/>
        </a:prstGeom>
      </xdr:spPr>
    </xdr:pic>
    <xdr:clientData/>
  </xdr:twoCellAnchor>
  <xdr:twoCellAnchor editAs="oneCell">
    <xdr:from>
      <xdr:col>0</xdr:col>
      <xdr:colOff>209550</xdr:colOff>
      <xdr:row>390</xdr:row>
      <xdr:rowOff>76200</xdr:rowOff>
    </xdr:from>
    <xdr:to>
      <xdr:col>4</xdr:col>
      <xdr:colOff>514350</xdr:colOff>
      <xdr:row>403</xdr:row>
      <xdr:rowOff>114300</xdr:rowOff>
    </xdr:to>
    <xdr:pic>
      <xdr:nvPicPr>
        <xdr:cNvPr id="54" name="Imagen 53">
          <a:extLst>
            <a:ext uri="{FF2B5EF4-FFF2-40B4-BE49-F238E27FC236}">
              <a16:creationId xmlns:a16="http://schemas.microsoft.com/office/drawing/2014/main" id="{BCC9163A-64D1-45B0-A4E0-EB2875F614BA}"/>
            </a:ext>
          </a:extLst>
        </xdr:cNvPr>
        <xdr:cNvPicPr>
          <a:picLocks noChangeAspect="1"/>
        </xdr:cNvPicPr>
      </xdr:nvPicPr>
      <xdr:blipFill>
        <a:blip xmlns:r="http://schemas.openxmlformats.org/officeDocument/2006/relationships" r:embed="rId49"/>
        <a:stretch>
          <a:fillRect/>
        </a:stretch>
      </xdr:blipFill>
      <xdr:spPr>
        <a:xfrm>
          <a:off x="209550" y="43914060"/>
          <a:ext cx="3474720" cy="2415540"/>
        </a:xfrm>
        <a:prstGeom prst="rect">
          <a:avLst/>
        </a:prstGeom>
      </xdr:spPr>
    </xdr:pic>
    <xdr:clientData/>
  </xdr:twoCellAnchor>
  <xdr:twoCellAnchor editAs="oneCell">
    <xdr:from>
      <xdr:col>6</xdr:col>
      <xdr:colOff>342900</xdr:colOff>
      <xdr:row>390</xdr:row>
      <xdr:rowOff>85725</xdr:rowOff>
    </xdr:from>
    <xdr:to>
      <xdr:col>10</xdr:col>
      <xdr:colOff>76200</xdr:colOff>
      <xdr:row>403</xdr:row>
      <xdr:rowOff>123825</xdr:rowOff>
    </xdr:to>
    <xdr:pic>
      <xdr:nvPicPr>
        <xdr:cNvPr id="55" name="Imagen 54">
          <a:extLst>
            <a:ext uri="{FF2B5EF4-FFF2-40B4-BE49-F238E27FC236}">
              <a16:creationId xmlns:a16="http://schemas.microsoft.com/office/drawing/2014/main" id="{053A2787-6437-4061-8230-77076BD9BCF3}"/>
            </a:ext>
          </a:extLst>
        </xdr:cNvPr>
        <xdr:cNvPicPr>
          <a:picLocks noChangeAspect="1"/>
        </xdr:cNvPicPr>
      </xdr:nvPicPr>
      <xdr:blipFill>
        <a:blip xmlns:r="http://schemas.openxmlformats.org/officeDocument/2006/relationships" r:embed="rId50"/>
        <a:stretch>
          <a:fillRect/>
        </a:stretch>
      </xdr:blipFill>
      <xdr:spPr>
        <a:xfrm>
          <a:off x="4945380" y="43923585"/>
          <a:ext cx="3482340" cy="2415540"/>
        </a:xfrm>
        <a:prstGeom prst="rect">
          <a:avLst/>
        </a:prstGeom>
      </xdr:spPr>
    </xdr:pic>
    <xdr:clientData/>
  </xdr:twoCellAnchor>
  <xdr:twoCellAnchor editAs="oneCell">
    <xdr:from>
      <xdr:col>0</xdr:col>
      <xdr:colOff>190500</xdr:colOff>
      <xdr:row>422</xdr:row>
      <xdr:rowOff>95250</xdr:rowOff>
    </xdr:from>
    <xdr:to>
      <xdr:col>4</xdr:col>
      <xdr:colOff>495300</xdr:colOff>
      <xdr:row>435</xdr:row>
      <xdr:rowOff>133350</xdr:rowOff>
    </xdr:to>
    <xdr:pic>
      <xdr:nvPicPr>
        <xdr:cNvPr id="56" name="Imagen 55">
          <a:extLst>
            <a:ext uri="{FF2B5EF4-FFF2-40B4-BE49-F238E27FC236}">
              <a16:creationId xmlns:a16="http://schemas.microsoft.com/office/drawing/2014/main" id="{F6C73098-054C-42A2-B8AE-39B383ECC22B}"/>
            </a:ext>
          </a:extLst>
        </xdr:cNvPr>
        <xdr:cNvPicPr>
          <a:picLocks noChangeAspect="1"/>
        </xdr:cNvPicPr>
      </xdr:nvPicPr>
      <xdr:blipFill>
        <a:blip xmlns:r="http://schemas.openxmlformats.org/officeDocument/2006/relationships" r:embed="rId51"/>
        <a:stretch>
          <a:fillRect/>
        </a:stretch>
      </xdr:blipFill>
      <xdr:spPr>
        <a:xfrm>
          <a:off x="190500" y="46874430"/>
          <a:ext cx="3474720" cy="2415540"/>
        </a:xfrm>
        <a:prstGeom prst="rect">
          <a:avLst/>
        </a:prstGeom>
      </xdr:spPr>
    </xdr:pic>
    <xdr:clientData/>
  </xdr:twoCellAnchor>
  <xdr:twoCellAnchor editAs="oneCell">
    <xdr:from>
      <xdr:col>6</xdr:col>
      <xdr:colOff>352425</xdr:colOff>
      <xdr:row>422</xdr:row>
      <xdr:rowOff>66675</xdr:rowOff>
    </xdr:from>
    <xdr:to>
      <xdr:col>10</xdr:col>
      <xdr:colOff>85725</xdr:colOff>
      <xdr:row>435</xdr:row>
      <xdr:rowOff>104775</xdr:rowOff>
    </xdr:to>
    <xdr:pic>
      <xdr:nvPicPr>
        <xdr:cNvPr id="57" name="Imagen 56">
          <a:extLst>
            <a:ext uri="{FF2B5EF4-FFF2-40B4-BE49-F238E27FC236}">
              <a16:creationId xmlns:a16="http://schemas.microsoft.com/office/drawing/2014/main" id="{07D3F7B7-8374-4908-AB0C-71C05D34FD8E}"/>
            </a:ext>
          </a:extLst>
        </xdr:cNvPr>
        <xdr:cNvPicPr>
          <a:picLocks noChangeAspect="1"/>
        </xdr:cNvPicPr>
      </xdr:nvPicPr>
      <xdr:blipFill>
        <a:blip xmlns:r="http://schemas.openxmlformats.org/officeDocument/2006/relationships" r:embed="rId52"/>
        <a:stretch>
          <a:fillRect/>
        </a:stretch>
      </xdr:blipFill>
      <xdr:spPr>
        <a:xfrm>
          <a:off x="4954905" y="46845855"/>
          <a:ext cx="3482340" cy="2415540"/>
        </a:xfrm>
        <a:prstGeom prst="rect">
          <a:avLst/>
        </a:prstGeom>
      </xdr:spPr>
    </xdr:pic>
    <xdr:clientData/>
  </xdr:twoCellAnchor>
  <xdr:twoCellAnchor editAs="oneCell">
    <xdr:from>
      <xdr:col>0</xdr:col>
      <xdr:colOff>295275</xdr:colOff>
      <xdr:row>556</xdr:row>
      <xdr:rowOff>104775</xdr:rowOff>
    </xdr:from>
    <xdr:to>
      <xdr:col>4</xdr:col>
      <xdr:colOff>600075</xdr:colOff>
      <xdr:row>569</xdr:row>
      <xdr:rowOff>142875</xdr:rowOff>
    </xdr:to>
    <xdr:pic>
      <xdr:nvPicPr>
        <xdr:cNvPr id="58" name="Imagen 57">
          <a:extLst>
            <a:ext uri="{FF2B5EF4-FFF2-40B4-BE49-F238E27FC236}">
              <a16:creationId xmlns:a16="http://schemas.microsoft.com/office/drawing/2014/main" id="{1E94FADA-2FFA-49FE-9B37-0FE0375C2CE7}"/>
            </a:ext>
          </a:extLst>
        </xdr:cNvPr>
        <xdr:cNvPicPr>
          <a:picLocks noChangeAspect="1"/>
        </xdr:cNvPicPr>
      </xdr:nvPicPr>
      <xdr:blipFill>
        <a:blip xmlns:r="http://schemas.openxmlformats.org/officeDocument/2006/relationships" r:embed="rId53"/>
        <a:stretch>
          <a:fillRect/>
        </a:stretch>
      </xdr:blipFill>
      <xdr:spPr>
        <a:xfrm>
          <a:off x="295275" y="71222235"/>
          <a:ext cx="3474720" cy="2415540"/>
        </a:xfrm>
        <a:prstGeom prst="rect">
          <a:avLst/>
        </a:prstGeom>
      </xdr:spPr>
    </xdr:pic>
    <xdr:clientData/>
  </xdr:twoCellAnchor>
  <xdr:twoCellAnchor editAs="oneCell">
    <xdr:from>
      <xdr:col>6</xdr:col>
      <xdr:colOff>390525</xdr:colOff>
      <xdr:row>556</xdr:row>
      <xdr:rowOff>76200</xdr:rowOff>
    </xdr:from>
    <xdr:to>
      <xdr:col>10</xdr:col>
      <xdr:colOff>123825</xdr:colOff>
      <xdr:row>569</xdr:row>
      <xdr:rowOff>114300</xdr:rowOff>
    </xdr:to>
    <xdr:pic>
      <xdr:nvPicPr>
        <xdr:cNvPr id="59" name="Imagen 58">
          <a:extLst>
            <a:ext uri="{FF2B5EF4-FFF2-40B4-BE49-F238E27FC236}">
              <a16:creationId xmlns:a16="http://schemas.microsoft.com/office/drawing/2014/main" id="{6ABF5BD5-CDB8-4407-8245-570853C6DAC3}"/>
            </a:ext>
          </a:extLst>
        </xdr:cNvPr>
        <xdr:cNvPicPr>
          <a:picLocks noChangeAspect="1"/>
        </xdr:cNvPicPr>
      </xdr:nvPicPr>
      <xdr:blipFill>
        <a:blip xmlns:r="http://schemas.openxmlformats.org/officeDocument/2006/relationships" r:embed="rId54"/>
        <a:stretch>
          <a:fillRect/>
        </a:stretch>
      </xdr:blipFill>
      <xdr:spPr>
        <a:xfrm>
          <a:off x="4993005" y="71193660"/>
          <a:ext cx="3482340" cy="2415540"/>
        </a:xfrm>
        <a:prstGeom prst="rect">
          <a:avLst/>
        </a:prstGeom>
      </xdr:spPr>
    </xdr:pic>
    <xdr:clientData/>
  </xdr:twoCellAnchor>
  <xdr:oneCellAnchor>
    <xdr:from>
      <xdr:col>0</xdr:col>
      <xdr:colOff>257175</xdr:colOff>
      <xdr:row>588</xdr:row>
      <xdr:rowOff>104775</xdr:rowOff>
    </xdr:from>
    <xdr:ext cx="3352800" cy="2514600"/>
    <xdr:pic>
      <xdr:nvPicPr>
        <xdr:cNvPr id="60" name="Imagen 59">
          <a:extLst>
            <a:ext uri="{FF2B5EF4-FFF2-40B4-BE49-F238E27FC236}">
              <a16:creationId xmlns:a16="http://schemas.microsoft.com/office/drawing/2014/main" id="{654984AD-A25F-4620-8D72-23D4D2D4A4EB}"/>
            </a:ext>
          </a:extLst>
        </xdr:cNvPr>
        <xdr:cNvPicPr>
          <a:picLocks noChangeAspect="1"/>
        </xdr:cNvPicPr>
      </xdr:nvPicPr>
      <xdr:blipFill>
        <a:blip xmlns:r="http://schemas.openxmlformats.org/officeDocument/2006/relationships" r:embed="rId55"/>
        <a:stretch>
          <a:fillRect/>
        </a:stretch>
      </xdr:blipFill>
      <xdr:spPr>
        <a:xfrm>
          <a:off x="257175" y="77120115"/>
          <a:ext cx="3352800" cy="2514600"/>
        </a:xfrm>
        <a:prstGeom prst="rect">
          <a:avLst/>
        </a:prstGeom>
      </xdr:spPr>
    </xdr:pic>
    <xdr:clientData/>
  </xdr:oneCellAnchor>
  <xdr:oneCellAnchor>
    <xdr:from>
      <xdr:col>6</xdr:col>
      <xdr:colOff>400050</xdr:colOff>
      <xdr:row>588</xdr:row>
      <xdr:rowOff>85725</xdr:rowOff>
    </xdr:from>
    <xdr:ext cx="3360420" cy="2514600"/>
    <xdr:pic>
      <xdr:nvPicPr>
        <xdr:cNvPr id="61" name="Imagen 60">
          <a:extLst>
            <a:ext uri="{FF2B5EF4-FFF2-40B4-BE49-F238E27FC236}">
              <a16:creationId xmlns:a16="http://schemas.microsoft.com/office/drawing/2014/main" id="{D770165A-1533-4840-8E68-3DFFBA5A08A7}"/>
            </a:ext>
          </a:extLst>
        </xdr:cNvPr>
        <xdr:cNvPicPr>
          <a:picLocks noChangeAspect="1"/>
        </xdr:cNvPicPr>
      </xdr:nvPicPr>
      <xdr:blipFill>
        <a:blip xmlns:r="http://schemas.openxmlformats.org/officeDocument/2006/relationships" r:embed="rId56"/>
        <a:stretch>
          <a:fillRect/>
        </a:stretch>
      </xdr:blipFill>
      <xdr:spPr>
        <a:xfrm>
          <a:off x="5002530" y="77101065"/>
          <a:ext cx="3360420" cy="2514600"/>
        </a:xfrm>
        <a:prstGeom prst="rect">
          <a:avLst/>
        </a:prstGeom>
      </xdr:spPr>
    </xdr:pic>
    <xdr:clientData/>
  </xdr:oneCellAnchor>
  <xdr:twoCellAnchor editAs="oneCell">
    <xdr:from>
      <xdr:col>0</xdr:col>
      <xdr:colOff>438150</xdr:colOff>
      <xdr:row>604</xdr:row>
      <xdr:rowOff>66675</xdr:rowOff>
    </xdr:from>
    <xdr:to>
      <xdr:col>4</xdr:col>
      <xdr:colOff>742950</xdr:colOff>
      <xdr:row>617</xdr:row>
      <xdr:rowOff>104775</xdr:rowOff>
    </xdr:to>
    <xdr:pic>
      <xdr:nvPicPr>
        <xdr:cNvPr id="62" name="Imagen 61">
          <a:extLst>
            <a:ext uri="{FF2B5EF4-FFF2-40B4-BE49-F238E27FC236}">
              <a16:creationId xmlns:a16="http://schemas.microsoft.com/office/drawing/2014/main" id="{4CF89228-F740-4C98-A941-68F850B71292}"/>
            </a:ext>
          </a:extLst>
        </xdr:cNvPr>
        <xdr:cNvPicPr>
          <a:picLocks noChangeAspect="1"/>
        </xdr:cNvPicPr>
      </xdr:nvPicPr>
      <xdr:blipFill>
        <a:blip xmlns:r="http://schemas.openxmlformats.org/officeDocument/2006/relationships" r:embed="rId57"/>
        <a:stretch>
          <a:fillRect/>
        </a:stretch>
      </xdr:blipFill>
      <xdr:spPr>
        <a:xfrm>
          <a:off x="438150" y="80030955"/>
          <a:ext cx="3474720" cy="2415540"/>
        </a:xfrm>
        <a:prstGeom prst="rect">
          <a:avLst/>
        </a:prstGeom>
      </xdr:spPr>
    </xdr:pic>
    <xdr:clientData/>
  </xdr:twoCellAnchor>
  <xdr:twoCellAnchor editAs="oneCell">
    <xdr:from>
      <xdr:col>6</xdr:col>
      <xdr:colOff>323850</xdr:colOff>
      <xdr:row>604</xdr:row>
      <xdr:rowOff>66675</xdr:rowOff>
    </xdr:from>
    <xdr:to>
      <xdr:col>10</xdr:col>
      <xdr:colOff>57150</xdr:colOff>
      <xdr:row>617</xdr:row>
      <xdr:rowOff>104775</xdr:rowOff>
    </xdr:to>
    <xdr:pic>
      <xdr:nvPicPr>
        <xdr:cNvPr id="63" name="Imagen 62">
          <a:extLst>
            <a:ext uri="{FF2B5EF4-FFF2-40B4-BE49-F238E27FC236}">
              <a16:creationId xmlns:a16="http://schemas.microsoft.com/office/drawing/2014/main" id="{3F061799-2CBB-43FD-8419-50DA9E0BFD67}"/>
            </a:ext>
          </a:extLst>
        </xdr:cNvPr>
        <xdr:cNvPicPr>
          <a:picLocks noChangeAspect="1"/>
        </xdr:cNvPicPr>
      </xdr:nvPicPr>
      <xdr:blipFill>
        <a:blip xmlns:r="http://schemas.openxmlformats.org/officeDocument/2006/relationships" r:embed="rId58"/>
        <a:stretch>
          <a:fillRect/>
        </a:stretch>
      </xdr:blipFill>
      <xdr:spPr>
        <a:xfrm>
          <a:off x="4926330" y="80030955"/>
          <a:ext cx="3482340" cy="241554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9</xdr:col>
      <xdr:colOff>716616</xdr:colOff>
      <xdr:row>0</xdr:row>
      <xdr:rowOff>128818</xdr:rowOff>
    </xdr:from>
    <xdr:ext cx="843803" cy="299808"/>
    <xdr:pic>
      <xdr:nvPicPr>
        <xdr:cNvPr id="2" name="2 Imagen">
          <a:extLst>
            <a:ext uri="{FF2B5EF4-FFF2-40B4-BE49-F238E27FC236}">
              <a16:creationId xmlns:a16="http://schemas.microsoft.com/office/drawing/2014/main" id="{2895A7DA-837D-4C5D-9C63-5D11C15B605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6484956" y="128818"/>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319F8E1A-7440-4C28-84E6-6D3569868BBC}"/>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1</xdr:col>
      <xdr:colOff>47625</xdr:colOff>
      <xdr:row>5</xdr:row>
      <xdr:rowOff>38100</xdr:rowOff>
    </xdr:from>
    <xdr:to>
      <xdr:col>6</xdr:col>
      <xdr:colOff>514350</xdr:colOff>
      <xdr:row>18</xdr:row>
      <xdr:rowOff>123825</xdr:rowOff>
    </xdr:to>
    <xdr:pic>
      <xdr:nvPicPr>
        <xdr:cNvPr id="4" name="Imagen 3">
          <a:extLst>
            <a:ext uri="{FF2B5EF4-FFF2-40B4-BE49-F238E27FC236}">
              <a16:creationId xmlns:a16="http://schemas.microsoft.com/office/drawing/2014/main" id="{DF768529-A4E9-4C71-ABEA-FAE50F4C4F8F}"/>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99085" y="1203960"/>
          <a:ext cx="3514725" cy="2478405"/>
        </a:xfrm>
        <a:prstGeom prst="rect">
          <a:avLst/>
        </a:prstGeom>
      </xdr:spPr>
    </xdr:pic>
    <xdr:clientData/>
  </xdr:twoCellAnchor>
  <xdr:twoCellAnchor editAs="oneCell">
    <xdr:from>
      <xdr:col>7</xdr:col>
      <xdr:colOff>28575</xdr:colOff>
      <xdr:row>37</xdr:row>
      <xdr:rowOff>28575</xdr:rowOff>
    </xdr:from>
    <xdr:to>
      <xdr:col>11</xdr:col>
      <xdr:colOff>571575</xdr:colOff>
      <xdr:row>50</xdr:row>
      <xdr:rowOff>173888</xdr:rowOff>
    </xdr:to>
    <xdr:pic>
      <xdr:nvPicPr>
        <xdr:cNvPr id="5" name="Imagen 4">
          <a:extLst>
            <a:ext uri="{FF2B5EF4-FFF2-40B4-BE49-F238E27FC236}">
              <a16:creationId xmlns:a16="http://schemas.microsoft.com/office/drawing/2014/main" id="{1A2A0AE3-53C7-4179-8D5F-4829E089055A}"/>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907155" y="7198995"/>
          <a:ext cx="3583380" cy="2522753"/>
        </a:xfrm>
        <a:prstGeom prst="rect">
          <a:avLst/>
        </a:prstGeom>
      </xdr:spPr>
    </xdr:pic>
    <xdr:clientData/>
  </xdr:twoCellAnchor>
  <xdr:twoCellAnchor editAs="oneCell">
    <xdr:from>
      <xdr:col>1</xdr:col>
      <xdr:colOff>19050</xdr:colOff>
      <xdr:row>37</xdr:row>
      <xdr:rowOff>38100</xdr:rowOff>
    </xdr:from>
    <xdr:to>
      <xdr:col>6</xdr:col>
      <xdr:colOff>536575</xdr:colOff>
      <xdr:row>50</xdr:row>
      <xdr:rowOff>171450</xdr:rowOff>
    </xdr:to>
    <xdr:pic>
      <xdr:nvPicPr>
        <xdr:cNvPr id="6" name="Imagen 5">
          <a:extLst>
            <a:ext uri="{FF2B5EF4-FFF2-40B4-BE49-F238E27FC236}">
              <a16:creationId xmlns:a16="http://schemas.microsoft.com/office/drawing/2014/main" id="{4DBDACB1-3B6A-4795-B1B2-FD3627F1CA71}"/>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70510" y="7208520"/>
          <a:ext cx="3565525" cy="2510790"/>
        </a:xfrm>
        <a:prstGeom prst="rect">
          <a:avLst/>
        </a:prstGeom>
      </xdr:spPr>
    </xdr:pic>
    <xdr:clientData/>
  </xdr:twoCellAnchor>
  <xdr:twoCellAnchor editAs="oneCell">
    <xdr:from>
      <xdr:col>1</xdr:col>
      <xdr:colOff>9525</xdr:colOff>
      <xdr:row>69</xdr:row>
      <xdr:rowOff>28575</xdr:rowOff>
    </xdr:from>
    <xdr:to>
      <xdr:col>6</xdr:col>
      <xdr:colOff>538868</xdr:colOff>
      <xdr:row>82</xdr:row>
      <xdr:rowOff>170788</xdr:rowOff>
    </xdr:to>
    <xdr:pic>
      <xdr:nvPicPr>
        <xdr:cNvPr id="7" name="Imagen 6">
          <a:extLst>
            <a:ext uri="{FF2B5EF4-FFF2-40B4-BE49-F238E27FC236}">
              <a16:creationId xmlns:a16="http://schemas.microsoft.com/office/drawing/2014/main" id="{1123D7B4-BAED-44BD-97FD-A2AF08959D7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260985" y="13096875"/>
          <a:ext cx="3577343" cy="2519653"/>
        </a:xfrm>
        <a:prstGeom prst="rect">
          <a:avLst/>
        </a:prstGeom>
      </xdr:spPr>
    </xdr:pic>
    <xdr:clientData/>
  </xdr:twoCellAnchor>
  <xdr:twoCellAnchor editAs="oneCell">
    <xdr:from>
      <xdr:col>7</xdr:col>
      <xdr:colOff>28575</xdr:colOff>
      <xdr:row>69</xdr:row>
      <xdr:rowOff>28575</xdr:rowOff>
    </xdr:from>
    <xdr:to>
      <xdr:col>11</xdr:col>
      <xdr:colOff>555913</xdr:colOff>
      <xdr:row>82</xdr:row>
      <xdr:rowOff>162141</xdr:rowOff>
    </xdr:to>
    <xdr:pic>
      <xdr:nvPicPr>
        <xdr:cNvPr id="8" name="Imagen 7">
          <a:extLst>
            <a:ext uri="{FF2B5EF4-FFF2-40B4-BE49-F238E27FC236}">
              <a16:creationId xmlns:a16="http://schemas.microsoft.com/office/drawing/2014/main" id="{46341157-AF8A-4AE1-BE22-C3F10DA4F43D}"/>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3907155" y="13096875"/>
          <a:ext cx="3567718" cy="2511006"/>
        </a:xfrm>
        <a:prstGeom prst="rect">
          <a:avLst/>
        </a:prstGeom>
      </xdr:spPr>
    </xdr:pic>
    <xdr:clientData/>
  </xdr:twoCellAnchor>
  <xdr:twoCellAnchor editAs="oneCell">
    <xdr:from>
      <xdr:col>1</xdr:col>
      <xdr:colOff>47625</xdr:colOff>
      <xdr:row>85</xdr:row>
      <xdr:rowOff>19050</xdr:rowOff>
    </xdr:from>
    <xdr:to>
      <xdr:col>6</xdr:col>
      <xdr:colOff>514609</xdr:colOff>
      <xdr:row>98</xdr:row>
      <xdr:rowOff>114074</xdr:rowOff>
    </xdr:to>
    <xdr:pic>
      <xdr:nvPicPr>
        <xdr:cNvPr id="9" name="Imagen 8">
          <a:extLst>
            <a:ext uri="{FF2B5EF4-FFF2-40B4-BE49-F238E27FC236}">
              <a16:creationId xmlns:a16="http://schemas.microsoft.com/office/drawing/2014/main" id="{D3044AFD-80C2-489F-9063-DD8A5E54612A}"/>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299085" y="16036290"/>
          <a:ext cx="3514984" cy="2472464"/>
        </a:xfrm>
        <a:prstGeom prst="rect">
          <a:avLst/>
        </a:prstGeom>
      </xdr:spPr>
    </xdr:pic>
    <xdr:clientData/>
  </xdr:twoCellAnchor>
  <xdr:twoCellAnchor editAs="oneCell">
    <xdr:from>
      <xdr:col>7</xdr:col>
      <xdr:colOff>47625</xdr:colOff>
      <xdr:row>85</xdr:row>
      <xdr:rowOff>28575</xdr:rowOff>
    </xdr:from>
    <xdr:to>
      <xdr:col>11</xdr:col>
      <xdr:colOff>551266</xdr:colOff>
      <xdr:row>98</xdr:row>
      <xdr:rowOff>141427</xdr:rowOff>
    </xdr:to>
    <xdr:pic>
      <xdr:nvPicPr>
        <xdr:cNvPr id="10" name="Imagen 9">
          <a:extLst>
            <a:ext uri="{FF2B5EF4-FFF2-40B4-BE49-F238E27FC236}">
              <a16:creationId xmlns:a16="http://schemas.microsoft.com/office/drawing/2014/main" id="{A3993E29-1450-4EA2-AE34-531498B44B42}"/>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926205" y="16045815"/>
          <a:ext cx="3544021" cy="2490292"/>
        </a:xfrm>
        <a:prstGeom prst="rect">
          <a:avLst/>
        </a:prstGeom>
      </xdr:spPr>
    </xdr:pic>
    <xdr:clientData/>
  </xdr:twoCellAnchor>
  <xdr:twoCellAnchor editAs="oneCell">
    <xdr:from>
      <xdr:col>1</xdr:col>
      <xdr:colOff>0</xdr:colOff>
      <xdr:row>53</xdr:row>
      <xdr:rowOff>0</xdr:rowOff>
    </xdr:from>
    <xdr:to>
      <xdr:col>6</xdr:col>
      <xdr:colOff>547058</xdr:colOff>
      <xdr:row>66</xdr:row>
      <xdr:rowOff>150878</xdr:rowOff>
    </xdr:to>
    <xdr:pic>
      <xdr:nvPicPr>
        <xdr:cNvPr id="11" name="Imagen 10">
          <a:extLst>
            <a:ext uri="{FF2B5EF4-FFF2-40B4-BE49-F238E27FC236}">
              <a16:creationId xmlns:a16="http://schemas.microsoft.com/office/drawing/2014/main" id="{4223DE53-203A-4F00-8969-E02F80ECB49C}"/>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251460" y="10119360"/>
          <a:ext cx="3595058" cy="2528318"/>
        </a:xfrm>
        <a:prstGeom prst="rect">
          <a:avLst/>
        </a:prstGeom>
      </xdr:spPr>
    </xdr:pic>
    <xdr:clientData/>
  </xdr:twoCellAnchor>
  <xdr:twoCellAnchor editAs="oneCell">
    <xdr:from>
      <xdr:col>7</xdr:col>
      <xdr:colOff>38100</xdr:colOff>
      <xdr:row>53</xdr:row>
      <xdr:rowOff>19050</xdr:rowOff>
    </xdr:from>
    <xdr:to>
      <xdr:col>11</xdr:col>
      <xdr:colOff>564800</xdr:colOff>
      <xdr:row>66</xdr:row>
      <xdr:rowOff>149196</xdr:rowOff>
    </xdr:to>
    <xdr:pic>
      <xdr:nvPicPr>
        <xdr:cNvPr id="12" name="Imagen 11">
          <a:extLst>
            <a:ext uri="{FF2B5EF4-FFF2-40B4-BE49-F238E27FC236}">
              <a16:creationId xmlns:a16="http://schemas.microsoft.com/office/drawing/2014/main" id="{CCF77352-D327-449E-A287-F08F2F0BD6EA}"/>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3916680" y="10138410"/>
          <a:ext cx="3567080" cy="2507586"/>
        </a:xfrm>
        <a:prstGeom prst="rect">
          <a:avLst/>
        </a:prstGeom>
      </xdr:spPr>
    </xdr:pic>
    <xdr:clientData/>
  </xdr:twoCellAnchor>
  <xdr:twoCellAnchor editAs="oneCell">
    <xdr:from>
      <xdr:col>7</xdr:col>
      <xdr:colOff>47625</xdr:colOff>
      <xdr:row>21</xdr:row>
      <xdr:rowOff>47624</xdr:rowOff>
    </xdr:from>
    <xdr:to>
      <xdr:col>11</xdr:col>
      <xdr:colOff>561975</xdr:colOff>
      <xdr:row>34</xdr:row>
      <xdr:rowOff>161924</xdr:rowOff>
    </xdr:to>
    <xdr:pic>
      <xdr:nvPicPr>
        <xdr:cNvPr id="13" name="Imagen 12">
          <a:extLst>
            <a:ext uri="{FF2B5EF4-FFF2-40B4-BE49-F238E27FC236}">
              <a16:creationId xmlns:a16="http://schemas.microsoft.com/office/drawing/2014/main" id="{15378BF5-093F-4847-92A5-0D283FB24B27}"/>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3926205" y="4215764"/>
          <a:ext cx="3554730" cy="2506980"/>
        </a:xfrm>
        <a:prstGeom prst="rect">
          <a:avLst/>
        </a:prstGeom>
      </xdr:spPr>
    </xdr:pic>
    <xdr:clientData/>
  </xdr:twoCellAnchor>
  <xdr:twoCellAnchor editAs="oneCell">
    <xdr:from>
      <xdr:col>1</xdr:col>
      <xdr:colOff>47625</xdr:colOff>
      <xdr:row>21</xdr:row>
      <xdr:rowOff>47626</xdr:rowOff>
    </xdr:from>
    <xdr:to>
      <xdr:col>6</xdr:col>
      <xdr:colOff>514348</xdr:colOff>
      <xdr:row>34</xdr:row>
      <xdr:rowOff>133351</xdr:rowOff>
    </xdr:to>
    <xdr:pic>
      <xdr:nvPicPr>
        <xdr:cNvPr id="14" name="Imagen 13">
          <a:extLst>
            <a:ext uri="{FF2B5EF4-FFF2-40B4-BE49-F238E27FC236}">
              <a16:creationId xmlns:a16="http://schemas.microsoft.com/office/drawing/2014/main" id="{44589637-E708-45C3-B910-9F60C1CB0B96}"/>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299085" y="4215766"/>
          <a:ext cx="3514723" cy="2478405"/>
        </a:xfrm>
        <a:prstGeom prst="rect">
          <a:avLst/>
        </a:prstGeom>
      </xdr:spPr>
    </xdr:pic>
    <xdr:clientData/>
  </xdr:twoCellAnchor>
  <xdr:twoCellAnchor editAs="oneCell">
    <xdr:from>
      <xdr:col>7</xdr:col>
      <xdr:colOff>38099</xdr:colOff>
      <xdr:row>5</xdr:row>
      <xdr:rowOff>28574</xdr:rowOff>
    </xdr:from>
    <xdr:to>
      <xdr:col>11</xdr:col>
      <xdr:colOff>559196</xdr:colOff>
      <xdr:row>18</xdr:row>
      <xdr:rowOff>142874</xdr:rowOff>
    </xdr:to>
    <xdr:pic>
      <xdr:nvPicPr>
        <xdr:cNvPr id="15" name="Imagen 14">
          <a:extLst>
            <a:ext uri="{FF2B5EF4-FFF2-40B4-BE49-F238E27FC236}">
              <a16:creationId xmlns:a16="http://schemas.microsoft.com/office/drawing/2014/main" id="{A24DFD5F-A4F9-44AD-AF35-A578D8B546D9}"/>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3916679" y="1194434"/>
          <a:ext cx="3561477" cy="250698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D934C2B5-7025-4811-9B23-FF788966B651}"/>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708091" y="138343"/>
          <a:ext cx="843803" cy="299808"/>
        </a:xfrm>
        <a:prstGeom prst="rect">
          <a:avLst/>
        </a:prstGeom>
      </xdr:spPr>
    </xdr:pic>
    <xdr:clientData/>
  </xdr:oneCellAnchor>
  <xdr:oneCellAnchor>
    <xdr:from>
      <xdr:col>1</xdr:col>
      <xdr:colOff>200024</xdr:colOff>
      <xdr:row>0</xdr:row>
      <xdr:rowOff>180976</xdr:rowOff>
    </xdr:from>
    <xdr:ext cx="714375" cy="247649"/>
    <xdr:pic>
      <xdr:nvPicPr>
        <xdr:cNvPr id="3" name="4 Imagen">
          <a:extLst>
            <a:ext uri="{FF2B5EF4-FFF2-40B4-BE49-F238E27FC236}">
              <a16:creationId xmlns:a16="http://schemas.microsoft.com/office/drawing/2014/main" id="{DE471E82-DE88-476C-8B56-12041D85C669}"/>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520064" y="180976"/>
          <a:ext cx="714375" cy="247649"/>
        </a:xfrm>
        <a:prstGeom prst="rect">
          <a:avLst/>
        </a:prstGeom>
      </xdr:spPr>
    </xdr:pic>
    <xdr:clientData/>
  </xdr:oneCellAnchor>
  <xdr:twoCellAnchor>
    <xdr:from>
      <xdr:col>0</xdr:col>
      <xdr:colOff>168426</xdr:colOff>
      <xdr:row>5</xdr:row>
      <xdr:rowOff>47701</xdr:rowOff>
    </xdr:from>
    <xdr:to>
      <xdr:col>4</xdr:col>
      <xdr:colOff>352425</xdr:colOff>
      <xdr:row>14</xdr:row>
      <xdr:rowOff>49969</xdr:rowOff>
    </xdr:to>
    <xdr:grpSp>
      <xdr:nvGrpSpPr>
        <xdr:cNvPr id="4" name="Grupo 3">
          <a:extLst>
            <a:ext uri="{FF2B5EF4-FFF2-40B4-BE49-F238E27FC236}">
              <a16:creationId xmlns:a16="http://schemas.microsoft.com/office/drawing/2014/main" id="{86951050-F6DA-40B4-AFA2-35DDA813F17C}"/>
            </a:ext>
          </a:extLst>
        </xdr:cNvPr>
        <xdr:cNvGrpSpPr/>
      </xdr:nvGrpSpPr>
      <xdr:grpSpPr>
        <a:xfrm>
          <a:off x="168426" y="1485976"/>
          <a:ext cx="2346174" cy="1716768"/>
          <a:chOff x="168426" y="1485976"/>
          <a:chExt cx="2346174" cy="1716768"/>
        </a:xfrm>
      </xdr:grpSpPr>
      <xdr:pic>
        <xdr:nvPicPr>
          <xdr:cNvPr id="5" name="Imagen 4">
            <a:extLst>
              <a:ext uri="{FF2B5EF4-FFF2-40B4-BE49-F238E27FC236}">
                <a16:creationId xmlns:a16="http://schemas.microsoft.com/office/drawing/2014/main" id="{99E5CE8E-FB3E-46DA-BE12-8BDFF38CA928}"/>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68426" y="1485976"/>
            <a:ext cx="2289023" cy="1716768"/>
          </a:xfrm>
          <a:prstGeom prst="rect">
            <a:avLst/>
          </a:prstGeom>
        </xdr:spPr>
      </xdr:pic>
      <xdr:sp macro="" textlink="">
        <xdr:nvSpPr>
          <xdr:cNvPr id="6" name="CuadroTexto 5">
            <a:extLst>
              <a:ext uri="{FF2B5EF4-FFF2-40B4-BE49-F238E27FC236}">
                <a16:creationId xmlns:a16="http://schemas.microsoft.com/office/drawing/2014/main" id="{27DC5B55-DC00-4522-B5CC-1A5ACA48B743}"/>
              </a:ext>
            </a:extLst>
          </xdr:cNvPr>
          <xdr:cNvSpPr txBox="1"/>
        </xdr:nvSpPr>
        <xdr:spPr>
          <a:xfrm>
            <a:off x="1057275" y="2981325"/>
            <a:ext cx="1457325" cy="190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17</a:t>
            </a:r>
            <a:r>
              <a:rPr lang="es-CO" sz="1100" baseline="0">
                <a:solidFill>
                  <a:schemeClr val="bg1"/>
                </a:solidFill>
              </a:rPr>
              <a:t> de febrero de 2021</a:t>
            </a:r>
            <a:endParaRPr lang="es-CO" sz="1100">
              <a:solidFill>
                <a:schemeClr val="bg1"/>
              </a:solidFill>
            </a:endParaRPr>
          </a:p>
        </xdr:txBody>
      </xdr:sp>
    </xdr:grpSp>
    <xdr:clientData/>
  </xdr:twoCellAnchor>
  <xdr:twoCellAnchor>
    <xdr:from>
      <xdr:col>4</xdr:col>
      <xdr:colOff>476250</xdr:colOff>
      <xdr:row>5</xdr:row>
      <xdr:rowOff>57150</xdr:rowOff>
    </xdr:from>
    <xdr:to>
      <xdr:col>5</xdr:col>
      <xdr:colOff>2038350</xdr:colOff>
      <xdr:row>14</xdr:row>
      <xdr:rowOff>65287</xdr:rowOff>
    </xdr:to>
    <xdr:grpSp>
      <xdr:nvGrpSpPr>
        <xdr:cNvPr id="7" name="Grupo 6">
          <a:extLst>
            <a:ext uri="{FF2B5EF4-FFF2-40B4-BE49-F238E27FC236}">
              <a16:creationId xmlns:a16="http://schemas.microsoft.com/office/drawing/2014/main" id="{BF2850A6-3F84-4E1A-A92B-015CB0C78FBC}"/>
            </a:ext>
          </a:extLst>
        </xdr:cNvPr>
        <xdr:cNvGrpSpPr/>
      </xdr:nvGrpSpPr>
      <xdr:grpSpPr>
        <a:xfrm>
          <a:off x="2638425" y="1495425"/>
          <a:ext cx="2352675" cy="1722637"/>
          <a:chOff x="2638425" y="1495425"/>
          <a:chExt cx="2352675" cy="1722637"/>
        </a:xfrm>
      </xdr:grpSpPr>
      <xdr:pic>
        <xdr:nvPicPr>
          <xdr:cNvPr id="8" name="Imagen 7">
            <a:extLst>
              <a:ext uri="{FF2B5EF4-FFF2-40B4-BE49-F238E27FC236}">
                <a16:creationId xmlns:a16="http://schemas.microsoft.com/office/drawing/2014/main" id="{7BDD70C8-E5E9-45A2-A795-82C0A19EC4FE}"/>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638425" y="1495425"/>
            <a:ext cx="2258750" cy="1722637"/>
          </a:xfrm>
          <a:prstGeom prst="rect">
            <a:avLst/>
          </a:prstGeom>
        </xdr:spPr>
      </xdr:pic>
      <xdr:sp macro="" textlink="">
        <xdr:nvSpPr>
          <xdr:cNvPr id="9" name="CuadroTexto 8">
            <a:extLst>
              <a:ext uri="{FF2B5EF4-FFF2-40B4-BE49-F238E27FC236}">
                <a16:creationId xmlns:a16="http://schemas.microsoft.com/office/drawing/2014/main" id="{1323C4C5-F7F5-4575-85EC-CD1DA79E5ACB}"/>
              </a:ext>
            </a:extLst>
          </xdr:cNvPr>
          <xdr:cNvSpPr txBox="1"/>
        </xdr:nvSpPr>
        <xdr:spPr>
          <a:xfrm>
            <a:off x="3533775" y="3000375"/>
            <a:ext cx="1457325" cy="190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17</a:t>
            </a:r>
            <a:r>
              <a:rPr lang="es-CO" sz="1100" baseline="0">
                <a:solidFill>
                  <a:schemeClr val="bg1"/>
                </a:solidFill>
              </a:rPr>
              <a:t> de febrero de 2021</a:t>
            </a:r>
            <a:endParaRPr lang="es-CO" sz="1100">
              <a:solidFill>
                <a:schemeClr val="bg1"/>
              </a:solidFill>
            </a:endParaRPr>
          </a:p>
        </xdr:txBody>
      </xdr:sp>
    </xdr:grpSp>
    <xdr:clientData/>
  </xdr:twoCellAnchor>
  <xdr:twoCellAnchor>
    <xdr:from>
      <xdr:col>0</xdr:col>
      <xdr:colOff>147053</xdr:colOff>
      <xdr:row>14</xdr:row>
      <xdr:rowOff>180975</xdr:rowOff>
    </xdr:from>
    <xdr:to>
      <xdr:col>4</xdr:col>
      <xdr:colOff>385178</xdr:colOff>
      <xdr:row>18</xdr:row>
      <xdr:rowOff>1149823</xdr:rowOff>
    </xdr:to>
    <xdr:grpSp>
      <xdr:nvGrpSpPr>
        <xdr:cNvPr id="10" name="Grupo 9">
          <a:extLst>
            <a:ext uri="{FF2B5EF4-FFF2-40B4-BE49-F238E27FC236}">
              <a16:creationId xmlns:a16="http://schemas.microsoft.com/office/drawing/2014/main" id="{8592DFD0-E297-44EE-B354-CC5427269CD4}"/>
            </a:ext>
          </a:extLst>
        </xdr:cNvPr>
        <xdr:cNvGrpSpPr/>
      </xdr:nvGrpSpPr>
      <xdr:grpSpPr>
        <a:xfrm>
          <a:off x="147053" y="3333750"/>
          <a:ext cx="2400300" cy="1730848"/>
          <a:chOff x="147053" y="3333750"/>
          <a:chExt cx="2400300" cy="1730848"/>
        </a:xfrm>
      </xdr:grpSpPr>
      <xdr:pic>
        <xdr:nvPicPr>
          <xdr:cNvPr id="11" name="Imagen 10">
            <a:extLst>
              <a:ext uri="{FF2B5EF4-FFF2-40B4-BE49-F238E27FC236}">
                <a16:creationId xmlns:a16="http://schemas.microsoft.com/office/drawing/2014/main" id="{CBF38F9C-DAFA-4297-88C6-C0169F8EC457}"/>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47053" y="3333750"/>
            <a:ext cx="2307796" cy="1730848"/>
          </a:xfrm>
          <a:prstGeom prst="rect">
            <a:avLst/>
          </a:prstGeom>
        </xdr:spPr>
      </xdr:pic>
      <xdr:sp macro="" textlink="">
        <xdr:nvSpPr>
          <xdr:cNvPr id="12" name="CuadroTexto 11">
            <a:extLst>
              <a:ext uri="{FF2B5EF4-FFF2-40B4-BE49-F238E27FC236}">
                <a16:creationId xmlns:a16="http://schemas.microsoft.com/office/drawing/2014/main" id="{4CF14FA4-7F91-4BA0-9E07-B7F1BF9F3B30}"/>
              </a:ext>
            </a:extLst>
          </xdr:cNvPr>
          <xdr:cNvSpPr txBox="1"/>
        </xdr:nvSpPr>
        <xdr:spPr>
          <a:xfrm>
            <a:off x="1090028" y="4819650"/>
            <a:ext cx="1457325" cy="190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17</a:t>
            </a:r>
            <a:r>
              <a:rPr lang="es-CO" sz="1100" baseline="0">
                <a:solidFill>
                  <a:schemeClr val="bg1"/>
                </a:solidFill>
              </a:rPr>
              <a:t> de febrero de 2021</a:t>
            </a:r>
            <a:endParaRPr lang="es-CO" sz="1100">
              <a:solidFill>
                <a:schemeClr val="bg1"/>
              </a:solidFill>
            </a:endParaRPr>
          </a:p>
        </xdr:txBody>
      </xdr:sp>
    </xdr:grpSp>
    <xdr:clientData/>
  </xdr:twoCellAnchor>
  <xdr:twoCellAnchor>
    <xdr:from>
      <xdr:col>4</xdr:col>
      <xdr:colOff>449527</xdr:colOff>
      <xdr:row>15</xdr:row>
      <xdr:rowOff>0</xdr:rowOff>
    </xdr:from>
    <xdr:to>
      <xdr:col>5</xdr:col>
      <xdr:colOff>2049727</xdr:colOff>
      <xdr:row>18</xdr:row>
      <xdr:rowOff>1157024</xdr:rowOff>
    </xdr:to>
    <xdr:grpSp>
      <xdr:nvGrpSpPr>
        <xdr:cNvPr id="13" name="Grupo 12">
          <a:extLst>
            <a:ext uri="{FF2B5EF4-FFF2-40B4-BE49-F238E27FC236}">
              <a16:creationId xmlns:a16="http://schemas.microsoft.com/office/drawing/2014/main" id="{4AD46393-4528-47D7-B09F-EE63850987FE}"/>
            </a:ext>
          </a:extLst>
        </xdr:cNvPr>
        <xdr:cNvGrpSpPr/>
      </xdr:nvGrpSpPr>
      <xdr:grpSpPr>
        <a:xfrm>
          <a:off x="2611702" y="3343275"/>
          <a:ext cx="2390775" cy="1728524"/>
          <a:chOff x="2611702" y="3343275"/>
          <a:chExt cx="2390775" cy="1728524"/>
        </a:xfrm>
      </xdr:grpSpPr>
      <xdr:pic>
        <xdr:nvPicPr>
          <xdr:cNvPr id="14" name="Imagen 13">
            <a:extLst>
              <a:ext uri="{FF2B5EF4-FFF2-40B4-BE49-F238E27FC236}">
                <a16:creationId xmlns:a16="http://schemas.microsoft.com/office/drawing/2014/main" id="{EADEDE0A-D850-44E9-BB09-76DC39C043D3}"/>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2611702" y="3343275"/>
            <a:ext cx="2304698" cy="1728524"/>
          </a:xfrm>
          <a:prstGeom prst="rect">
            <a:avLst/>
          </a:prstGeom>
        </xdr:spPr>
      </xdr:pic>
      <xdr:sp macro="" textlink="">
        <xdr:nvSpPr>
          <xdr:cNvPr id="15" name="CuadroTexto 14">
            <a:extLst>
              <a:ext uri="{FF2B5EF4-FFF2-40B4-BE49-F238E27FC236}">
                <a16:creationId xmlns:a16="http://schemas.microsoft.com/office/drawing/2014/main" id="{131241FE-F84E-4989-94C0-69E6966B8EFF}"/>
              </a:ext>
            </a:extLst>
          </xdr:cNvPr>
          <xdr:cNvSpPr txBox="1"/>
        </xdr:nvSpPr>
        <xdr:spPr>
          <a:xfrm>
            <a:off x="3545152" y="4848225"/>
            <a:ext cx="1457325" cy="190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17</a:t>
            </a:r>
            <a:r>
              <a:rPr lang="es-CO" sz="1100" baseline="0">
                <a:solidFill>
                  <a:schemeClr val="bg1"/>
                </a:solidFill>
              </a:rPr>
              <a:t> de febrero de 2021</a:t>
            </a:r>
            <a:endParaRPr lang="es-CO" sz="1100">
              <a:solidFill>
                <a:schemeClr val="bg1"/>
              </a:solidFill>
            </a:endParaRPr>
          </a:p>
        </xdr:txBody>
      </xdr:sp>
    </xdr:grpSp>
    <xdr:clientData/>
  </xdr:twoCellAnchor>
  <xdr:twoCellAnchor>
    <xdr:from>
      <xdr:col>6</xdr:col>
      <xdr:colOff>312316</xdr:colOff>
      <xdr:row>5</xdr:row>
      <xdr:rowOff>52895</xdr:rowOff>
    </xdr:from>
    <xdr:to>
      <xdr:col>8</xdr:col>
      <xdr:colOff>502816</xdr:colOff>
      <xdr:row>13</xdr:row>
      <xdr:rowOff>123825</xdr:rowOff>
    </xdr:to>
    <xdr:grpSp>
      <xdr:nvGrpSpPr>
        <xdr:cNvPr id="16" name="Grupo 15">
          <a:extLst>
            <a:ext uri="{FF2B5EF4-FFF2-40B4-BE49-F238E27FC236}">
              <a16:creationId xmlns:a16="http://schemas.microsoft.com/office/drawing/2014/main" id="{94C5444E-DC26-41D6-9EA2-49B9D794A026}"/>
            </a:ext>
          </a:extLst>
        </xdr:cNvPr>
        <xdr:cNvGrpSpPr/>
      </xdr:nvGrpSpPr>
      <xdr:grpSpPr>
        <a:xfrm>
          <a:off x="5522491" y="1491170"/>
          <a:ext cx="2257425" cy="1594930"/>
          <a:chOff x="5331991" y="1491170"/>
          <a:chExt cx="2257425" cy="1594930"/>
        </a:xfrm>
      </xdr:grpSpPr>
      <xdr:pic>
        <xdr:nvPicPr>
          <xdr:cNvPr id="17" name="Imagen 16">
            <a:extLst>
              <a:ext uri="{FF2B5EF4-FFF2-40B4-BE49-F238E27FC236}">
                <a16:creationId xmlns:a16="http://schemas.microsoft.com/office/drawing/2014/main" id="{C8835932-0C6D-4987-B559-F93186E94FC4}"/>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331991" y="1491170"/>
            <a:ext cx="2185169" cy="1594930"/>
          </a:xfrm>
          <a:prstGeom prst="rect">
            <a:avLst/>
          </a:prstGeom>
        </xdr:spPr>
      </xdr:pic>
      <xdr:sp macro="" textlink="">
        <xdr:nvSpPr>
          <xdr:cNvPr id="18" name="CuadroTexto 17">
            <a:extLst>
              <a:ext uri="{FF2B5EF4-FFF2-40B4-BE49-F238E27FC236}">
                <a16:creationId xmlns:a16="http://schemas.microsoft.com/office/drawing/2014/main" id="{A3D3CFCB-AA53-462E-83F6-2DE8018A2EA3}"/>
              </a:ext>
            </a:extLst>
          </xdr:cNvPr>
          <xdr:cNvSpPr txBox="1"/>
        </xdr:nvSpPr>
        <xdr:spPr>
          <a:xfrm>
            <a:off x="6132091" y="2881820"/>
            <a:ext cx="1457325" cy="190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18</a:t>
            </a:r>
            <a:r>
              <a:rPr lang="es-CO" sz="1100" baseline="0">
                <a:solidFill>
                  <a:schemeClr val="bg1"/>
                </a:solidFill>
              </a:rPr>
              <a:t> de febrero de 2021</a:t>
            </a:r>
            <a:endParaRPr lang="es-CO" sz="1100">
              <a:solidFill>
                <a:schemeClr val="bg1"/>
              </a:solidFill>
            </a:endParaRPr>
          </a:p>
        </xdr:txBody>
      </xdr:sp>
    </xdr:grpSp>
    <xdr:clientData/>
  </xdr:twoCellAnchor>
  <xdr:twoCellAnchor>
    <xdr:from>
      <xdr:col>8</xdr:col>
      <xdr:colOff>685801</xdr:colOff>
      <xdr:row>5</xdr:row>
      <xdr:rowOff>98120</xdr:rowOff>
    </xdr:from>
    <xdr:to>
      <xdr:col>9</xdr:col>
      <xdr:colOff>2190751</xdr:colOff>
      <xdr:row>14</xdr:row>
      <xdr:rowOff>9525</xdr:rowOff>
    </xdr:to>
    <xdr:grpSp>
      <xdr:nvGrpSpPr>
        <xdr:cNvPr id="19" name="Grupo 18">
          <a:extLst>
            <a:ext uri="{FF2B5EF4-FFF2-40B4-BE49-F238E27FC236}">
              <a16:creationId xmlns:a16="http://schemas.microsoft.com/office/drawing/2014/main" id="{841BE9D9-E5A4-490B-B694-CAC100C39253}"/>
            </a:ext>
          </a:extLst>
        </xdr:cNvPr>
        <xdr:cNvGrpSpPr/>
      </xdr:nvGrpSpPr>
      <xdr:grpSpPr>
        <a:xfrm>
          <a:off x="7962901" y="1536395"/>
          <a:ext cx="2371725" cy="1625905"/>
          <a:chOff x="7772401" y="1536395"/>
          <a:chExt cx="2371725" cy="1625905"/>
        </a:xfrm>
      </xdr:grpSpPr>
      <xdr:pic>
        <xdr:nvPicPr>
          <xdr:cNvPr id="20" name="Imagen 19">
            <a:extLst>
              <a:ext uri="{FF2B5EF4-FFF2-40B4-BE49-F238E27FC236}">
                <a16:creationId xmlns:a16="http://schemas.microsoft.com/office/drawing/2014/main" id="{A9DC9C6B-7609-4F07-9F2E-089293A4A0CC}"/>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7772401" y="1536395"/>
            <a:ext cx="2276010" cy="1625905"/>
          </a:xfrm>
          <a:prstGeom prst="rect">
            <a:avLst/>
          </a:prstGeom>
        </xdr:spPr>
      </xdr:pic>
      <xdr:sp macro="" textlink="">
        <xdr:nvSpPr>
          <xdr:cNvPr id="21" name="CuadroTexto 20">
            <a:extLst>
              <a:ext uri="{FF2B5EF4-FFF2-40B4-BE49-F238E27FC236}">
                <a16:creationId xmlns:a16="http://schemas.microsoft.com/office/drawing/2014/main" id="{BED7CD95-EA16-41ED-8454-DFB61D6DE290}"/>
              </a:ext>
            </a:extLst>
          </xdr:cNvPr>
          <xdr:cNvSpPr txBox="1"/>
        </xdr:nvSpPr>
        <xdr:spPr>
          <a:xfrm>
            <a:off x="8686801" y="2936570"/>
            <a:ext cx="1457325" cy="190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18</a:t>
            </a:r>
            <a:r>
              <a:rPr lang="es-CO" sz="1100" baseline="0">
                <a:solidFill>
                  <a:schemeClr val="bg1"/>
                </a:solidFill>
              </a:rPr>
              <a:t> de febrero de 2021</a:t>
            </a:r>
            <a:endParaRPr lang="es-CO" sz="1100">
              <a:solidFill>
                <a:schemeClr val="bg1"/>
              </a:solidFill>
            </a:endParaRPr>
          </a:p>
        </xdr:txBody>
      </xdr:sp>
    </xdr:grpSp>
    <xdr:clientData/>
  </xdr:twoCellAnchor>
  <xdr:twoCellAnchor>
    <xdr:from>
      <xdr:col>6</xdr:col>
      <xdr:colOff>326641</xdr:colOff>
      <xdr:row>14</xdr:row>
      <xdr:rowOff>152400</xdr:rowOff>
    </xdr:from>
    <xdr:to>
      <xdr:col>8</xdr:col>
      <xdr:colOff>555241</xdr:colOff>
      <xdr:row>18</xdr:row>
      <xdr:rowOff>1152525</xdr:rowOff>
    </xdr:to>
    <xdr:grpSp>
      <xdr:nvGrpSpPr>
        <xdr:cNvPr id="22" name="Grupo 21">
          <a:extLst>
            <a:ext uri="{FF2B5EF4-FFF2-40B4-BE49-F238E27FC236}">
              <a16:creationId xmlns:a16="http://schemas.microsoft.com/office/drawing/2014/main" id="{6B5E8D64-80B0-4447-9D72-6F7EEDC0A4DE}"/>
            </a:ext>
          </a:extLst>
        </xdr:cNvPr>
        <xdr:cNvGrpSpPr/>
      </xdr:nvGrpSpPr>
      <xdr:grpSpPr>
        <a:xfrm>
          <a:off x="5536816" y="3305175"/>
          <a:ext cx="2295525" cy="1762125"/>
          <a:chOff x="5346316" y="3305175"/>
          <a:chExt cx="2295525" cy="1762125"/>
        </a:xfrm>
      </xdr:grpSpPr>
      <xdr:pic>
        <xdr:nvPicPr>
          <xdr:cNvPr id="23" name="Imagen 22">
            <a:extLst>
              <a:ext uri="{FF2B5EF4-FFF2-40B4-BE49-F238E27FC236}">
                <a16:creationId xmlns:a16="http://schemas.microsoft.com/office/drawing/2014/main" id="{EC2AEA68-29BB-4B61-B009-38E473DC1250}"/>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t="31692" b="7828"/>
          <a:stretch/>
        </xdr:blipFill>
        <xdr:spPr>
          <a:xfrm>
            <a:off x="5346316" y="3305175"/>
            <a:ext cx="2185169" cy="1762125"/>
          </a:xfrm>
          <a:prstGeom prst="rect">
            <a:avLst/>
          </a:prstGeom>
        </xdr:spPr>
      </xdr:pic>
      <xdr:sp macro="" textlink="">
        <xdr:nvSpPr>
          <xdr:cNvPr id="24" name="CuadroTexto 23">
            <a:extLst>
              <a:ext uri="{FF2B5EF4-FFF2-40B4-BE49-F238E27FC236}">
                <a16:creationId xmlns:a16="http://schemas.microsoft.com/office/drawing/2014/main" id="{D9A29F33-6822-44F3-A07E-78DD978D1DD4}"/>
              </a:ext>
            </a:extLst>
          </xdr:cNvPr>
          <xdr:cNvSpPr txBox="1"/>
        </xdr:nvSpPr>
        <xdr:spPr>
          <a:xfrm>
            <a:off x="6184516" y="4867275"/>
            <a:ext cx="1457325" cy="190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18</a:t>
            </a:r>
            <a:r>
              <a:rPr lang="es-CO" sz="1100" baseline="0">
                <a:solidFill>
                  <a:schemeClr val="bg1"/>
                </a:solidFill>
              </a:rPr>
              <a:t> de febrero de 2021</a:t>
            </a:r>
            <a:endParaRPr lang="es-CO" sz="1100">
              <a:solidFill>
                <a:schemeClr val="bg1"/>
              </a:solidFill>
            </a:endParaRPr>
          </a:p>
        </xdr:txBody>
      </xdr:sp>
    </xdr:grpSp>
    <xdr:clientData/>
  </xdr:twoCellAnchor>
  <xdr:twoCellAnchor>
    <xdr:from>
      <xdr:col>8</xdr:col>
      <xdr:colOff>681657</xdr:colOff>
      <xdr:row>15</xdr:row>
      <xdr:rowOff>10580</xdr:rowOff>
    </xdr:from>
    <xdr:to>
      <xdr:col>9</xdr:col>
      <xdr:colOff>2167557</xdr:colOff>
      <xdr:row>18</xdr:row>
      <xdr:rowOff>1127621</xdr:rowOff>
    </xdr:to>
    <xdr:grpSp>
      <xdr:nvGrpSpPr>
        <xdr:cNvPr id="25" name="Grupo 24">
          <a:extLst>
            <a:ext uri="{FF2B5EF4-FFF2-40B4-BE49-F238E27FC236}">
              <a16:creationId xmlns:a16="http://schemas.microsoft.com/office/drawing/2014/main" id="{A115BB6A-2B99-4336-970A-99382FBC9F7D}"/>
            </a:ext>
          </a:extLst>
        </xdr:cNvPr>
        <xdr:cNvGrpSpPr/>
      </xdr:nvGrpSpPr>
      <xdr:grpSpPr>
        <a:xfrm>
          <a:off x="7958757" y="3353855"/>
          <a:ext cx="2352675" cy="1688541"/>
          <a:chOff x="7768257" y="3353855"/>
          <a:chExt cx="2352675" cy="1688541"/>
        </a:xfrm>
      </xdr:grpSpPr>
      <xdr:pic>
        <xdr:nvPicPr>
          <xdr:cNvPr id="26" name="Imagen 25">
            <a:extLst>
              <a:ext uri="{FF2B5EF4-FFF2-40B4-BE49-F238E27FC236}">
                <a16:creationId xmlns:a16="http://schemas.microsoft.com/office/drawing/2014/main" id="{4A9A30CE-9BC3-4C8C-80E7-D8F2F32F824B}"/>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7768257" y="3353855"/>
            <a:ext cx="2251386" cy="1688541"/>
          </a:xfrm>
          <a:prstGeom prst="rect">
            <a:avLst/>
          </a:prstGeom>
        </xdr:spPr>
      </xdr:pic>
      <xdr:sp macro="" textlink="">
        <xdr:nvSpPr>
          <xdr:cNvPr id="27" name="CuadroTexto 26">
            <a:extLst>
              <a:ext uri="{FF2B5EF4-FFF2-40B4-BE49-F238E27FC236}">
                <a16:creationId xmlns:a16="http://schemas.microsoft.com/office/drawing/2014/main" id="{8BB4BB3B-BB89-4A40-922B-6A1B09D264C3}"/>
              </a:ext>
            </a:extLst>
          </xdr:cNvPr>
          <xdr:cNvSpPr txBox="1"/>
        </xdr:nvSpPr>
        <xdr:spPr>
          <a:xfrm>
            <a:off x="8663607" y="4849280"/>
            <a:ext cx="1457325" cy="190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18</a:t>
            </a:r>
            <a:r>
              <a:rPr lang="es-CO" sz="1100" baseline="0">
                <a:solidFill>
                  <a:schemeClr val="bg1"/>
                </a:solidFill>
              </a:rPr>
              <a:t> de febrero de 2021</a:t>
            </a:r>
            <a:endParaRPr lang="es-CO" sz="1100">
              <a:solidFill>
                <a:schemeClr val="bg1"/>
              </a:solidFill>
            </a:endParaRPr>
          </a:p>
        </xdr:txBody>
      </xdr:sp>
    </xdr:grpSp>
    <xdr:clientData/>
  </xdr:twoCellAnchor>
  <xdr:twoCellAnchor>
    <xdr:from>
      <xdr:col>0</xdr:col>
      <xdr:colOff>159361</xdr:colOff>
      <xdr:row>21</xdr:row>
      <xdr:rowOff>128409</xdr:rowOff>
    </xdr:from>
    <xdr:to>
      <xdr:col>4</xdr:col>
      <xdr:colOff>378436</xdr:colOff>
      <xdr:row>30</xdr:row>
      <xdr:rowOff>133351</xdr:rowOff>
    </xdr:to>
    <xdr:grpSp>
      <xdr:nvGrpSpPr>
        <xdr:cNvPr id="28" name="Grupo 27">
          <a:extLst>
            <a:ext uri="{FF2B5EF4-FFF2-40B4-BE49-F238E27FC236}">
              <a16:creationId xmlns:a16="http://schemas.microsoft.com/office/drawing/2014/main" id="{39A57FA3-7335-4BB4-8CB2-9A4F2FFA4AC2}"/>
            </a:ext>
          </a:extLst>
        </xdr:cNvPr>
        <xdr:cNvGrpSpPr/>
      </xdr:nvGrpSpPr>
      <xdr:grpSpPr>
        <a:xfrm>
          <a:off x="159361" y="6614934"/>
          <a:ext cx="2381250" cy="1719442"/>
          <a:chOff x="159361" y="6586359"/>
          <a:chExt cx="2381250" cy="1719442"/>
        </a:xfrm>
      </xdr:grpSpPr>
      <xdr:pic>
        <xdr:nvPicPr>
          <xdr:cNvPr id="29" name="Imagen 28">
            <a:extLst>
              <a:ext uri="{FF2B5EF4-FFF2-40B4-BE49-F238E27FC236}">
                <a16:creationId xmlns:a16="http://schemas.microsoft.com/office/drawing/2014/main" id="{B8D27B90-AEE9-4F13-8473-340CA8D6B566}"/>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59361" y="6586359"/>
            <a:ext cx="2279039" cy="1719442"/>
          </a:xfrm>
          <a:prstGeom prst="rect">
            <a:avLst/>
          </a:prstGeom>
        </xdr:spPr>
      </xdr:pic>
      <xdr:sp macro="" textlink="">
        <xdr:nvSpPr>
          <xdr:cNvPr id="30" name="CuadroTexto 29">
            <a:extLst>
              <a:ext uri="{FF2B5EF4-FFF2-40B4-BE49-F238E27FC236}">
                <a16:creationId xmlns:a16="http://schemas.microsoft.com/office/drawing/2014/main" id="{3EB3B356-B7AB-4653-ADD3-33E0E1D56A1C}"/>
              </a:ext>
            </a:extLst>
          </xdr:cNvPr>
          <xdr:cNvSpPr txBox="1"/>
        </xdr:nvSpPr>
        <xdr:spPr>
          <a:xfrm>
            <a:off x="1083286" y="8100834"/>
            <a:ext cx="1457325" cy="190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18</a:t>
            </a:r>
            <a:r>
              <a:rPr lang="es-CO" sz="1100" baseline="0">
                <a:solidFill>
                  <a:schemeClr val="bg1"/>
                </a:solidFill>
              </a:rPr>
              <a:t> de febrero de 2021</a:t>
            </a:r>
            <a:endParaRPr lang="es-CO" sz="1100">
              <a:solidFill>
                <a:schemeClr val="bg1"/>
              </a:solidFill>
            </a:endParaRPr>
          </a:p>
        </xdr:txBody>
      </xdr:sp>
    </xdr:grpSp>
    <xdr:clientData/>
  </xdr:twoCellAnchor>
  <xdr:twoCellAnchor>
    <xdr:from>
      <xdr:col>4</xdr:col>
      <xdr:colOff>504825</xdr:colOff>
      <xdr:row>21</xdr:row>
      <xdr:rowOff>114300</xdr:rowOff>
    </xdr:from>
    <xdr:to>
      <xdr:col>5</xdr:col>
      <xdr:colOff>2038350</xdr:colOff>
      <xdr:row>30</xdr:row>
      <xdr:rowOff>152400</xdr:rowOff>
    </xdr:to>
    <xdr:grpSp>
      <xdr:nvGrpSpPr>
        <xdr:cNvPr id="31" name="Grupo 30">
          <a:extLst>
            <a:ext uri="{FF2B5EF4-FFF2-40B4-BE49-F238E27FC236}">
              <a16:creationId xmlns:a16="http://schemas.microsoft.com/office/drawing/2014/main" id="{6FA77158-C4CB-4DDA-B5A2-0C2A2C7FFCFB}"/>
            </a:ext>
          </a:extLst>
        </xdr:cNvPr>
        <xdr:cNvGrpSpPr/>
      </xdr:nvGrpSpPr>
      <xdr:grpSpPr>
        <a:xfrm>
          <a:off x="2667000" y="6600825"/>
          <a:ext cx="2324100" cy="1752600"/>
          <a:chOff x="2667000" y="6572250"/>
          <a:chExt cx="2324100" cy="1752600"/>
        </a:xfrm>
      </xdr:grpSpPr>
      <xdr:pic>
        <xdr:nvPicPr>
          <xdr:cNvPr id="32" name="Imagen 31">
            <a:extLst>
              <a:ext uri="{FF2B5EF4-FFF2-40B4-BE49-F238E27FC236}">
                <a16:creationId xmlns:a16="http://schemas.microsoft.com/office/drawing/2014/main" id="{F7D9EFCF-EC28-4CD1-9003-D991BC1AE81D}"/>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2667000" y="6572250"/>
            <a:ext cx="2234259" cy="1752600"/>
          </a:xfrm>
          <a:prstGeom prst="rect">
            <a:avLst/>
          </a:prstGeom>
        </xdr:spPr>
      </xdr:pic>
      <xdr:sp macro="" textlink="">
        <xdr:nvSpPr>
          <xdr:cNvPr id="33" name="CuadroTexto 32">
            <a:extLst>
              <a:ext uri="{FF2B5EF4-FFF2-40B4-BE49-F238E27FC236}">
                <a16:creationId xmlns:a16="http://schemas.microsoft.com/office/drawing/2014/main" id="{124F2EA1-B2AE-4363-9435-485B7D93A3D4}"/>
              </a:ext>
            </a:extLst>
          </xdr:cNvPr>
          <xdr:cNvSpPr txBox="1"/>
        </xdr:nvSpPr>
        <xdr:spPr>
          <a:xfrm>
            <a:off x="3533775" y="8105775"/>
            <a:ext cx="1457325" cy="190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18</a:t>
            </a:r>
            <a:r>
              <a:rPr lang="es-CO" sz="1100" baseline="0">
                <a:solidFill>
                  <a:schemeClr val="bg1"/>
                </a:solidFill>
              </a:rPr>
              <a:t> de febrero de 2021</a:t>
            </a:r>
            <a:endParaRPr lang="es-CO" sz="1100">
              <a:solidFill>
                <a:schemeClr val="bg1"/>
              </a:solidFill>
            </a:endParaRPr>
          </a:p>
        </xdr:txBody>
      </xdr:sp>
    </xdr:grpSp>
    <xdr:clientData/>
  </xdr:twoCellAnchor>
  <xdr:twoCellAnchor>
    <xdr:from>
      <xdr:col>0</xdr:col>
      <xdr:colOff>171286</xdr:colOff>
      <xdr:row>31</xdr:row>
      <xdr:rowOff>68794</xdr:rowOff>
    </xdr:from>
    <xdr:to>
      <xdr:col>4</xdr:col>
      <xdr:colOff>352261</xdr:colOff>
      <xdr:row>34</xdr:row>
      <xdr:rowOff>1069043</xdr:rowOff>
    </xdr:to>
    <xdr:grpSp>
      <xdr:nvGrpSpPr>
        <xdr:cNvPr id="34" name="Grupo 33">
          <a:extLst>
            <a:ext uri="{FF2B5EF4-FFF2-40B4-BE49-F238E27FC236}">
              <a16:creationId xmlns:a16="http://schemas.microsoft.com/office/drawing/2014/main" id="{3B970002-FFD6-4FB8-8C02-A6CD94518DAD}"/>
            </a:ext>
          </a:extLst>
        </xdr:cNvPr>
        <xdr:cNvGrpSpPr/>
      </xdr:nvGrpSpPr>
      <xdr:grpSpPr>
        <a:xfrm>
          <a:off x="171286" y="8460319"/>
          <a:ext cx="2343150" cy="1571749"/>
          <a:chOff x="171286" y="8431744"/>
          <a:chExt cx="2343150" cy="1571749"/>
        </a:xfrm>
      </xdr:grpSpPr>
      <xdr:pic>
        <xdr:nvPicPr>
          <xdr:cNvPr id="35" name="Imagen 34">
            <a:extLst>
              <a:ext uri="{FF2B5EF4-FFF2-40B4-BE49-F238E27FC236}">
                <a16:creationId xmlns:a16="http://schemas.microsoft.com/office/drawing/2014/main" id="{D5D2B7E3-2A07-41C4-9BF8-FCE5C39DFC3D}"/>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71286" y="8431744"/>
            <a:ext cx="2248064" cy="1571749"/>
          </a:xfrm>
          <a:prstGeom prst="rect">
            <a:avLst/>
          </a:prstGeom>
        </xdr:spPr>
      </xdr:pic>
      <xdr:sp macro="" textlink="">
        <xdr:nvSpPr>
          <xdr:cNvPr id="36" name="CuadroTexto 35">
            <a:extLst>
              <a:ext uri="{FF2B5EF4-FFF2-40B4-BE49-F238E27FC236}">
                <a16:creationId xmlns:a16="http://schemas.microsoft.com/office/drawing/2014/main" id="{40F583FA-2A6B-4694-A5EF-701A51D251AC}"/>
              </a:ext>
            </a:extLst>
          </xdr:cNvPr>
          <xdr:cNvSpPr txBox="1"/>
        </xdr:nvSpPr>
        <xdr:spPr>
          <a:xfrm>
            <a:off x="1057111" y="9793819"/>
            <a:ext cx="1457325" cy="190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18</a:t>
            </a:r>
            <a:r>
              <a:rPr lang="es-CO" sz="1100" baseline="0">
                <a:solidFill>
                  <a:schemeClr val="bg1"/>
                </a:solidFill>
              </a:rPr>
              <a:t> de febrero de 2021</a:t>
            </a:r>
            <a:endParaRPr lang="es-CO" sz="1100">
              <a:solidFill>
                <a:schemeClr val="bg1"/>
              </a:solidFill>
            </a:endParaRPr>
          </a:p>
        </xdr:txBody>
      </xdr:sp>
    </xdr:grpSp>
    <xdr:clientData/>
  </xdr:twoCellAnchor>
  <xdr:twoCellAnchor>
    <xdr:from>
      <xdr:col>4</xdr:col>
      <xdr:colOff>466725</xdr:colOff>
      <xdr:row>31</xdr:row>
      <xdr:rowOff>71333</xdr:rowOff>
    </xdr:from>
    <xdr:to>
      <xdr:col>5</xdr:col>
      <xdr:colOff>2038350</xdr:colOff>
      <xdr:row>34</xdr:row>
      <xdr:rowOff>1047750</xdr:rowOff>
    </xdr:to>
    <xdr:grpSp>
      <xdr:nvGrpSpPr>
        <xdr:cNvPr id="37" name="Grupo 36">
          <a:extLst>
            <a:ext uri="{FF2B5EF4-FFF2-40B4-BE49-F238E27FC236}">
              <a16:creationId xmlns:a16="http://schemas.microsoft.com/office/drawing/2014/main" id="{CB300F72-5E8C-49A3-A592-FBFCF77A898C}"/>
            </a:ext>
          </a:extLst>
        </xdr:cNvPr>
        <xdr:cNvGrpSpPr/>
      </xdr:nvGrpSpPr>
      <xdr:grpSpPr>
        <a:xfrm>
          <a:off x="2628900" y="8462858"/>
          <a:ext cx="2362200" cy="1547917"/>
          <a:chOff x="2628900" y="8434283"/>
          <a:chExt cx="2362200" cy="1547917"/>
        </a:xfrm>
      </xdr:grpSpPr>
      <xdr:pic>
        <xdr:nvPicPr>
          <xdr:cNvPr id="38" name="Imagen 37">
            <a:extLst>
              <a:ext uri="{FF2B5EF4-FFF2-40B4-BE49-F238E27FC236}">
                <a16:creationId xmlns:a16="http://schemas.microsoft.com/office/drawing/2014/main" id="{ABD71133-F54C-4227-B537-ACE84C2479D5}"/>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2628900" y="8434283"/>
            <a:ext cx="2274014" cy="1547917"/>
          </a:xfrm>
          <a:prstGeom prst="rect">
            <a:avLst/>
          </a:prstGeom>
        </xdr:spPr>
      </xdr:pic>
      <xdr:sp macro="" textlink="">
        <xdr:nvSpPr>
          <xdr:cNvPr id="39" name="CuadroTexto 38">
            <a:extLst>
              <a:ext uri="{FF2B5EF4-FFF2-40B4-BE49-F238E27FC236}">
                <a16:creationId xmlns:a16="http://schemas.microsoft.com/office/drawing/2014/main" id="{82374548-4B1D-43AA-A468-B936909F39A7}"/>
              </a:ext>
            </a:extLst>
          </xdr:cNvPr>
          <xdr:cNvSpPr txBox="1"/>
        </xdr:nvSpPr>
        <xdr:spPr>
          <a:xfrm>
            <a:off x="3533775" y="9786833"/>
            <a:ext cx="1457325" cy="190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18</a:t>
            </a:r>
            <a:r>
              <a:rPr lang="es-CO" sz="1100" baseline="0">
                <a:solidFill>
                  <a:schemeClr val="bg1"/>
                </a:solidFill>
              </a:rPr>
              <a:t> de febrero de 2021</a:t>
            </a:r>
            <a:endParaRPr lang="es-CO" sz="1100">
              <a:solidFill>
                <a:schemeClr val="bg1"/>
              </a:solidFill>
            </a:endParaRPr>
          </a:p>
        </xdr:txBody>
      </xdr:sp>
    </xdr:grpSp>
    <xdr:clientData/>
  </xdr:twoCellAnchor>
  <xdr:twoCellAnchor>
    <xdr:from>
      <xdr:col>0</xdr:col>
      <xdr:colOff>169035</xdr:colOff>
      <xdr:row>34</xdr:row>
      <xdr:rowOff>1126894</xdr:rowOff>
    </xdr:from>
    <xdr:to>
      <xdr:col>4</xdr:col>
      <xdr:colOff>359535</xdr:colOff>
      <xdr:row>34</xdr:row>
      <xdr:rowOff>2571743</xdr:rowOff>
    </xdr:to>
    <xdr:grpSp>
      <xdr:nvGrpSpPr>
        <xdr:cNvPr id="40" name="Grupo 39">
          <a:extLst>
            <a:ext uri="{FF2B5EF4-FFF2-40B4-BE49-F238E27FC236}">
              <a16:creationId xmlns:a16="http://schemas.microsoft.com/office/drawing/2014/main" id="{7C5EF4C9-B3FD-44A1-BECC-5BB0DE4AB953}"/>
            </a:ext>
          </a:extLst>
        </xdr:cNvPr>
        <xdr:cNvGrpSpPr/>
      </xdr:nvGrpSpPr>
      <xdr:grpSpPr>
        <a:xfrm>
          <a:off x="169035" y="10089919"/>
          <a:ext cx="2352675" cy="1444849"/>
          <a:chOff x="169035" y="10061344"/>
          <a:chExt cx="2352675" cy="1444849"/>
        </a:xfrm>
      </xdr:grpSpPr>
      <xdr:pic>
        <xdr:nvPicPr>
          <xdr:cNvPr id="41" name="Imagen 40">
            <a:extLst>
              <a:ext uri="{FF2B5EF4-FFF2-40B4-BE49-F238E27FC236}">
                <a16:creationId xmlns:a16="http://schemas.microsoft.com/office/drawing/2014/main" id="{DCD6D5F8-D658-4D30-A3F6-2B11AAD9B942}"/>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69035" y="10061344"/>
            <a:ext cx="2259840" cy="1444849"/>
          </a:xfrm>
          <a:prstGeom prst="rect">
            <a:avLst/>
          </a:prstGeom>
        </xdr:spPr>
      </xdr:pic>
      <xdr:sp macro="" textlink="">
        <xdr:nvSpPr>
          <xdr:cNvPr id="42" name="CuadroTexto 41">
            <a:extLst>
              <a:ext uri="{FF2B5EF4-FFF2-40B4-BE49-F238E27FC236}">
                <a16:creationId xmlns:a16="http://schemas.microsoft.com/office/drawing/2014/main" id="{A6ECADCF-890D-4FCA-B7DD-40C9F14C0247}"/>
              </a:ext>
            </a:extLst>
          </xdr:cNvPr>
          <xdr:cNvSpPr txBox="1"/>
        </xdr:nvSpPr>
        <xdr:spPr>
          <a:xfrm>
            <a:off x="1064385" y="11299594"/>
            <a:ext cx="1457325" cy="190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18</a:t>
            </a:r>
            <a:r>
              <a:rPr lang="es-CO" sz="1100" baseline="0">
                <a:solidFill>
                  <a:schemeClr val="bg1"/>
                </a:solidFill>
              </a:rPr>
              <a:t> de febrero de 2021</a:t>
            </a:r>
            <a:endParaRPr lang="es-CO" sz="1100">
              <a:solidFill>
                <a:schemeClr val="bg1"/>
              </a:solidFill>
            </a:endParaRPr>
          </a:p>
        </xdr:txBody>
      </xdr:sp>
    </xdr:grpSp>
    <xdr:clientData/>
  </xdr:twoCellAnchor>
  <xdr:twoCellAnchor>
    <xdr:from>
      <xdr:col>4</xdr:col>
      <xdr:colOff>461835</xdr:colOff>
      <xdr:row>34</xdr:row>
      <xdr:rowOff>1114425</xdr:rowOff>
    </xdr:from>
    <xdr:to>
      <xdr:col>5</xdr:col>
      <xdr:colOff>2057399</xdr:colOff>
      <xdr:row>34</xdr:row>
      <xdr:rowOff>2618280</xdr:rowOff>
    </xdr:to>
    <xdr:grpSp>
      <xdr:nvGrpSpPr>
        <xdr:cNvPr id="43" name="Grupo 42">
          <a:extLst>
            <a:ext uri="{FF2B5EF4-FFF2-40B4-BE49-F238E27FC236}">
              <a16:creationId xmlns:a16="http://schemas.microsoft.com/office/drawing/2014/main" id="{CC599A16-FE18-466E-8162-6A5DF57FBC69}"/>
            </a:ext>
          </a:extLst>
        </xdr:cNvPr>
        <xdr:cNvGrpSpPr/>
      </xdr:nvGrpSpPr>
      <xdr:grpSpPr>
        <a:xfrm>
          <a:off x="2624010" y="10077450"/>
          <a:ext cx="2386139" cy="1503855"/>
          <a:chOff x="2643061" y="10029825"/>
          <a:chExt cx="2324100" cy="1503855"/>
        </a:xfrm>
      </xdr:grpSpPr>
      <xdr:pic>
        <xdr:nvPicPr>
          <xdr:cNvPr id="44" name="Imagen 43">
            <a:extLst>
              <a:ext uri="{FF2B5EF4-FFF2-40B4-BE49-F238E27FC236}">
                <a16:creationId xmlns:a16="http://schemas.microsoft.com/office/drawing/2014/main" id="{5504935E-22E5-4C4F-A53B-DAFB135A4375}"/>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2643061" y="10029825"/>
            <a:ext cx="2233739" cy="1503855"/>
          </a:xfrm>
          <a:prstGeom prst="rect">
            <a:avLst/>
          </a:prstGeom>
        </xdr:spPr>
      </xdr:pic>
      <xdr:sp macro="" textlink="">
        <xdr:nvSpPr>
          <xdr:cNvPr id="45" name="CuadroTexto 44">
            <a:extLst>
              <a:ext uri="{FF2B5EF4-FFF2-40B4-BE49-F238E27FC236}">
                <a16:creationId xmlns:a16="http://schemas.microsoft.com/office/drawing/2014/main" id="{F81B3861-9FE1-4794-B119-93EEAA2DAC80}"/>
              </a:ext>
            </a:extLst>
          </xdr:cNvPr>
          <xdr:cNvSpPr txBox="1"/>
        </xdr:nvSpPr>
        <xdr:spPr>
          <a:xfrm>
            <a:off x="3509836" y="11306175"/>
            <a:ext cx="1457325" cy="190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18</a:t>
            </a:r>
            <a:r>
              <a:rPr lang="es-CO" sz="1100" baseline="0">
                <a:solidFill>
                  <a:schemeClr val="bg1"/>
                </a:solidFill>
              </a:rPr>
              <a:t> de febrero de 2021</a:t>
            </a:r>
            <a:endParaRPr lang="es-CO" sz="1100">
              <a:solidFill>
                <a:schemeClr val="bg1"/>
              </a:solidFill>
            </a:endParaRPr>
          </a:p>
        </xdr:txBody>
      </xdr:sp>
    </xdr:grpSp>
    <xdr:clientData/>
  </xdr:twoCellAnchor>
  <xdr:twoCellAnchor>
    <xdr:from>
      <xdr:col>7</xdr:col>
      <xdr:colOff>309511</xdr:colOff>
      <xdr:row>34</xdr:row>
      <xdr:rowOff>76200</xdr:rowOff>
    </xdr:from>
    <xdr:to>
      <xdr:col>9</xdr:col>
      <xdr:colOff>1357261</xdr:colOff>
      <xdr:row>34</xdr:row>
      <xdr:rowOff>2569343</xdr:rowOff>
    </xdr:to>
    <xdr:grpSp>
      <xdr:nvGrpSpPr>
        <xdr:cNvPr id="46" name="Grupo 45">
          <a:extLst>
            <a:ext uri="{FF2B5EF4-FFF2-40B4-BE49-F238E27FC236}">
              <a16:creationId xmlns:a16="http://schemas.microsoft.com/office/drawing/2014/main" id="{38A9128B-CF08-455A-9CE7-9BFCA5351BCA}"/>
            </a:ext>
          </a:extLst>
        </xdr:cNvPr>
        <xdr:cNvGrpSpPr/>
      </xdr:nvGrpSpPr>
      <xdr:grpSpPr>
        <a:xfrm>
          <a:off x="6091186" y="9039225"/>
          <a:ext cx="3409950" cy="2493143"/>
          <a:chOff x="5900686" y="9010650"/>
          <a:chExt cx="3409950" cy="2493143"/>
        </a:xfrm>
      </xdr:grpSpPr>
      <xdr:pic>
        <xdr:nvPicPr>
          <xdr:cNvPr id="47" name="Imagen 46">
            <a:extLst>
              <a:ext uri="{FF2B5EF4-FFF2-40B4-BE49-F238E27FC236}">
                <a16:creationId xmlns:a16="http://schemas.microsoft.com/office/drawing/2014/main" id="{981005FF-BA64-451E-ADB1-43F66EE2E57B}"/>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5900686" y="9010650"/>
            <a:ext cx="3324188" cy="2493143"/>
          </a:xfrm>
          <a:prstGeom prst="rect">
            <a:avLst/>
          </a:prstGeom>
        </xdr:spPr>
      </xdr:pic>
      <xdr:sp macro="" textlink="">
        <xdr:nvSpPr>
          <xdr:cNvPr id="48" name="CuadroTexto 47">
            <a:extLst>
              <a:ext uri="{FF2B5EF4-FFF2-40B4-BE49-F238E27FC236}">
                <a16:creationId xmlns:a16="http://schemas.microsoft.com/office/drawing/2014/main" id="{53BC6D6E-9D30-4FD6-B452-C2E95C610308}"/>
              </a:ext>
            </a:extLst>
          </xdr:cNvPr>
          <xdr:cNvSpPr txBox="1"/>
        </xdr:nvSpPr>
        <xdr:spPr>
          <a:xfrm>
            <a:off x="7853311" y="11296650"/>
            <a:ext cx="1457325" cy="190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18</a:t>
            </a:r>
            <a:r>
              <a:rPr lang="es-CO" sz="1100" baseline="0">
                <a:solidFill>
                  <a:schemeClr val="bg1"/>
                </a:solidFill>
              </a:rPr>
              <a:t> de febrero de 2021</a:t>
            </a:r>
            <a:endParaRPr lang="es-CO" sz="1100">
              <a:solidFill>
                <a:schemeClr val="bg1"/>
              </a:solidFill>
            </a:endParaRPr>
          </a:p>
        </xdr:txBody>
      </xdr:sp>
    </xdr:grpSp>
    <xdr:clientData/>
  </xdr:twoCellAnchor>
  <xdr:twoCellAnchor>
    <xdr:from>
      <xdr:col>7</xdr:col>
      <xdr:colOff>326174</xdr:colOff>
      <xdr:row>21</xdr:row>
      <xdr:rowOff>75506</xdr:rowOff>
    </xdr:from>
    <xdr:to>
      <xdr:col>9</xdr:col>
      <xdr:colOff>1335824</xdr:colOff>
      <xdr:row>33</xdr:row>
      <xdr:rowOff>173775</xdr:rowOff>
    </xdr:to>
    <xdr:grpSp>
      <xdr:nvGrpSpPr>
        <xdr:cNvPr id="49" name="Grupo 48">
          <a:extLst>
            <a:ext uri="{FF2B5EF4-FFF2-40B4-BE49-F238E27FC236}">
              <a16:creationId xmlns:a16="http://schemas.microsoft.com/office/drawing/2014/main" id="{FB90F426-0D3C-4039-96FA-C2E0C03C4E25}"/>
            </a:ext>
          </a:extLst>
        </xdr:cNvPr>
        <xdr:cNvGrpSpPr/>
      </xdr:nvGrpSpPr>
      <xdr:grpSpPr>
        <a:xfrm>
          <a:off x="6107849" y="6562031"/>
          <a:ext cx="3371850" cy="2384269"/>
          <a:chOff x="5917349" y="6533456"/>
          <a:chExt cx="3371850" cy="2384269"/>
        </a:xfrm>
      </xdr:grpSpPr>
      <xdr:pic>
        <xdr:nvPicPr>
          <xdr:cNvPr id="50" name="Imagen 49">
            <a:extLst>
              <a:ext uri="{FF2B5EF4-FFF2-40B4-BE49-F238E27FC236}">
                <a16:creationId xmlns:a16="http://schemas.microsoft.com/office/drawing/2014/main" id="{A290E5EB-D3A9-45D2-9B05-DCF3E570C269}"/>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5917349" y="6533456"/>
            <a:ext cx="3283801" cy="2384269"/>
          </a:xfrm>
          <a:prstGeom prst="rect">
            <a:avLst/>
          </a:prstGeom>
        </xdr:spPr>
      </xdr:pic>
      <xdr:sp macro="" textlink="">
        <xdr:nvSpPr>
          <xdr:cNvPr id="51" name="CuadroTexto 50">
            <a:extLst>
              <a:ext uri="{FF2B5EF4-FFF2-40B4-BE49-F238E27FC236}">
                <a16:creationId xmlns:a16="http://schemas.microsoft.com/office/drawing/2014/main" id="{295144A2-ABB6-44DE-B353-AE1C50E0A8FF}"/>
              </a:ext>
            </a:extLst>
          </xdr:cNvPr>
          <xdr:cNvSpPr txBox="1"/>
        </xdr:nvSpPr>
        <xdr:spPr>
          <a:xfrm>
            <a:off x="7831874" y="8676581"/>
            <a:ext cx="1457325" cy="190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18</a:t>
            </a:r>
            <a:r>
              <a:rPr lang="es-CO" sz="1100" baseline="0">
                <a:solidFill>
                  <a:schemeClr val="bg1"/>
                </a:solidFill>
              </a:rPr>
              <a:t> de febrero de 2021</a:t>
            </a:r>
            <a:endParaRPr lang="es-CO" sz="1100">
              <a:solidFill>
                <a:schemeClr val="bg1"/>
              </a:solidFill>
            </a:endParaRPr>
          </a:p>
        </xdr:txBody>
      </xdr:sp>
    </xdr:grpSp>
    <xdr:clientData/>
  </xdr:twoCellAnchor>
  <xdr:twoCellAnchor editAs="oneCell">
    <xdr:from>
      <xdr:col>6</xdr:col>
      <xdr:colOff>85725</xdr:colOff>
      <xdr:row>38</xdr:row>
      <xdr:rowOff>76199</xdr:rowOff>
    </xdr:from>
    <xdr:to>
      <xdr:col>8</xdr:col>
      <xdr:colOff>438149</xdr:colOff>
      <xdr:row>48</xdr:row>
      <xdr:rowOff>85724</xdr:rowOff>
    </xdr:to>
    <xdr:pic>
      <xdr:nvPicPr>
        <xdr:cNvPr id="52" name="Imagen 51">
          <a:extLst>
            <a:ext uri="{FF2B5EF4-FFF2-40B4-BE49-F238E27FC236}">
              <a16:creationId xmlns:a16="http://schemas.microsoft.com/office/drawing/2014/main" id="{0F097773-BD7F-44F7-9811-B130F71F5711}"/>
            </a:ext>
          </a:extLst>
        </xdr:cNvPr>
        <xdr:cNvPicPr>
          <a:picLocks noChangeAspect="1"/>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b="19198"/>
        <a:stretch/>
      </xdr:blipFill>
      <xdr:spPr>
        <a:xfrm>
          <a:off x="5450205" y="13388339"/>
          <a:ext cx="2478404" cy="1838325"/>
        </a:xfrm>
        <a:prstGeom prst="rect">
          <a:avLst/>
        </a:prstGeom>
      </xdr:spPr>
    </xdr:pic>
    <xdr:clientData/>
  </xdr:twoCellAnchor>
  <xdr:twoCellAnchor>
    <xdr:from>
      <xdr:col>0</xdr:col>
      <xdr:colOff>91802</xdr:colOff>
      <xdr:row>38</xdr:row>
      <xdr:rowOff>57150</xdr:rowOff>
    </xdr:from>
    <xdr:to>
      <xdr:col>4</xdr:col>
      <xdr:colOff>387077</xdr:colOff>
      <xdr:row>48</xdr:row>
      <xdr:rowOff>104775</xdr:rowOff>
    </xdr:to>
    <xdr:grpSp>
      <xdr:nvGrpSpPr>
        <xdr:cNvPr id="53" name="Grupo 52">
          <a:extLst>
            <a:ext uri="{FF2B5EF4-FFF2-40B4-BE49-F238E27FC236}">
              <a16:creationId xmlns:a16="http://schemas.microsoft.com/office/drawing/2014/main" id="{7FE5EB76-A13D-4C09-AC42-2D787E7947E8}"/>
            </a:ext>
          </a:extLst>
        </xdr:cNvPr>
        <xdr:cNvGrpSpPr/>
      </xdr:nvGrpSpPr>
      <xdr:grpSpPr>
        <a:xfrm>
          <a:off x="91802" y="13611225"/>
          <a:ext cx="2457450" cy="1952625"/>
          <a:chOff x="91802" y="13039725"/>
          <a:chExt cx="2457450" cy="1952625"/>
        </a:xfrm>
      </xdr:grpSpPr>
      <xdr:pic>
        <xdr:nvPicPr>
          <xdr:cNvPr id="54" name="Imagen 53">
            <a:extLst>
              <a:ext uri="{FF2B5EF4-FFF2-40B4-BE49-F238E27FC236}">
                <a16:creationId xmlns:a16="http://schemas.microsoft.com/office/drawing/2014/main" id="{DA033148-B88A-4BEE-A042-495F14109C68}"/>
              </a:ext>
            </a:extLst>
          </xdr:cNvPr>
          <xdr:cNvPicPr>
            <a:picLocks noChangeAspect="1"/>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b="45760"/>
          <a:stretch/>
        </xdr:blipFill>
        <xdr:spPr>
          <a:xfrm>
            <a:off x="91802" y="13039725"/>
            <a:ext cx="2365647" cy="1952625"/>
          </a:xfrm>
          <a:prstGeom prst="rect">
            <a:avLst/>
          </a:prstGeom>
        </xdr:spPr>
      </xdr:pic>
      <xdr:sp macro="" textlink="">
        <xdr:nvSpPr>
          <xdr:cNvPr id="55" name="CuadroTexto 54">
            <a:extLst>
              <a:ext uri="{FF2B5EF4-FFF2-40B4-BE49-F238E27FC236}">
                <a16:creationId xmlns:a16="http://schemas.microsoft.com/office/drawing/2014/main" id="{9DDF66FA-5C3F-4BEA-8B2E-663615301FC8}"/>
              </a:ext>
            </a:extLst>
          </xdr:cNvPr>
          <xdr:cNvSpPr txBox="1"/>
        </xdr:nvSpPr>
        <xdr:spPr>
          <a:xfrm>
            <a:off x="1091927" y="14735175"/>
            <a:ext cx="1457325" cy="190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18</a:t>
            </a:r>
            <a:r>
              <a:rPr lang="es-CO" sz="1100" baseline="0">
                <a:solidFill>
                  <a:schemeClr val="bg1"/>
                </a:solidFill>
              </a:rPr>
              <a:t> de febrero de 2021</a:t>
            </a:r>
            <a:endParaRPr lang="es-CO" sz="1100">
              <a:solidFill>
                <a:schemeClr val="bg1"/>
              </a:solidFill>
            </a:endParaRPr>
          </a:p>
        </xdr:txBody>
      </xdr:sp>
    </xdr:grpSp>
    <xdr:clientData/>
  </xdr:twoCellAnchor>
  <xdr:twoCellAnchor>
    <xdr:from>
      <xdr:col>4</xdr:col>
      <xdr:colOff>409575</xdr:colOff>
      <xdr:row>38</xdr:row>
      <xdr:rowOff>28574</xdr:rowOff>
    </xdr:from>
    <xdr:to>
      <xdr:col>5</xdr:col>
      <xdr:colOff>2047875</xdr:colOff>
      <xdr:row>48</xdr:row>
      <xdr:rowOff>114300</xdr:rowOff>
    </xdr:to>
    <xdr:grpSp>
      <xdr:nvGrpSpPr>
        <xdr:cNvPr id="56" name="Grupo 55">
          <a:extLst>
            <a:ext uri="{FF2B5EF4-FFF2-40B4-BE49-F238E27FC236}">
              <a16:creationId xmlns:a16="http://schemas.microsoft.com/office/drawing/2014/main" id="{4FC26802-54D7-43BC-94BD-E9E233B598CC}"/>
            </a:ext>
          </a:extLst>
        </xdr:cNvPr>
        <xdr:cNvGrpSpPr/>
      </xdr:nvGrpSpPr>
      <xdr:grpSpPr>
        <a:xfrm>
          <a:off x="2571750" y="13582649"/>
          <a:ext cx="2428875" cy="1990726"/>
          <a:chOff x="2571750" y="13011149"/>
          <a:chExt cx="2428875" cy="1990726"/>
        </a:xfrm>
      </xdr:grpSpPr>
      <xdr:pic>
        <xdr:nvPicPr>
          <xdr:cNvPr id="57" name="Imagen 56">
            <a:extLst>
              <a:ext uri="{FF2B5EF4-FFF2-40B4-BE49-F238E27FC236}">
                <a16:creationId xmlns:a16="http://schemas.microsoft.com/office/drawing/2014/main" id="{A3B6E6EF-867B-4BC8-B06B-6293761D51C4}"/>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2571750" y="13011149"/>
            <a:ext cx="2378825" cy="1990726"/>
          </a:xfrm>
          <a:prstGeom prst="rect">
            <a:avLst/>
          </a:prstGeom>
        </xdr:spPr>
      </xdr:pic>
      <xdr:sp macro="" textlink="">
        <xdr:nvSpPr>
          <xdr:cNvPr id="58" name="CuadroTexto 57">
            <a:extLst>
              <a:ext uri="{FF2B5EF4-FFF2-40B4-BE49-F238E27FC236}">
                <a16:creationId xmlns:a16="http://schemas.microsoft.com/office/drawing/2014/main" id="{D33AAF51-3EB4-43A5-A533-AC9DF261415E}"/>
              </a:ext>
            </a:extLst>
          </xdr:cNvPr>
          <xdr:cNvSpPr txBox="1"/>
        </xdr:nvSpPr>
        <xdr:spPr>
          <a:xfrm>
            <a:off x="3543300" y="14763749"/>
            <a:ext cx="1457325" cy="190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18</a:t>
            </a:r>
            <a:r>
              <a:rPr lang="es-CO" sz="1100" baseline="0">
                <a:solidFill>
                  <a:schemeClr val="bg1"/>
                </a:solidFill>
              </a:rPr>
              <a:t> de febrero de 2021</a:t>
            </a:r>
            <a:endParaRPr lang="es-CO" sz="1100">
              <a:solidFill>
                <a:schemeClr val="bg1"/>
              </a:solidFill>
            </a:endParaRPr>
          </a:p>
        </xdr:txBody>
      </xdr:sp>
    </xdr:grpSp>
    <xdr:clientData/>
  </xdr:twoCellAnchor>
  <xdr:twoCellAnchor>
    <xdr:from>
      <xdr:col>2</xdr:col>
      <xdr:colOff>257585</xdr:colOff>
      <xdr:row>66</xdr:row>
      <xdr:rowOff>28574</xdr:rowOff>
    </xdr:from>
    <xdr:to>
      <xdr:col>5</xdr:col>
      <xdr:colOff>866775</xdr:colOff>
      <xdr:row>79</xdr:row>
      <xdr:rowOff>151671</xdr:rowOff>
    </xdr:to>
    <xdr:grpSp>
      <xdr:nvGrpSpPr>
        <xdr:cNvPr id="59" name="Grupo 58">
          <a:extLst>
            <a:ext uri="{FF2B5EF4-FFF2-40B4-BE49-F238E27FC236}">
              <a16:creationId xmlns:a16="http://schemas.microsoft.com/office/drawing/2014/main" id="{38F88777-DBC7-47C7-A025-1724CB1A976B}"/>
            </a:ext>
          </a:extLst>
        </xdr:cNvPr>
        <xdr:cNvGrpSpPr/>
      </xdr:nvGrpSpPr>
      <xdr:grpSpPr>
        <a:xfrm>
          <a:off x="1124360" y="21650324"/>
          <a:ext cx="2695165" cy="2599597"/>
          <a:chOff x="1105310" y="16868774"/>
          <a:chExt cx="2695165" cy="2599597"/>
        </a:xfrm>
      </xdr:grpSpPr>
      <xdr:pic>
        <xdr:nvPicPr>
          <xdr:cNvPr id="60" name="Imagen 59">
            <a:extLst>
              <a:ext uri="{FF2B5EF4-FFF2-40B4-BE49-F238E27FC236}">
                <a16:creationId xmlns:a16="http://schemas.microsoft.com/office/drawing/2014/main" id="{7D6C7EE2-C59B-4D09-8C58-3D31DA125963}"/>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1105310" y="16868774"/>
            <a:ext cx="2666590" cy="2599597"/>
          </a:xfrm>
          <a:prstGeom prst="rect">
            <a:avLst/>
          </a:prstGeom>
        </xdr:spPr>
      </xdr:pic>
      <xdr:sp macro="" textlink="">
        <xdr:nvSpPr>
          <xdr:cNvPr id="61" name="CuadroTexto 60">
            <a:extLst>
              <a:ext uri="{FF2B5EF4-FFF2-40B4-BE49-F238E27FC236}">
                <a16:creationId xmlns:a16="http://schemas.microsoft.com/office/drawing/2014/main" id="{658B0374-E0D9-4083-8AAF-36E704F452E2}"/>
              </a:ext>
            </a:extLst>
          </xdr:cNvPr>
          <xdr:cNvSpPr txBox="1"/>
        </xdr:nvSpPr>
        <xdr:spPr>
          <a:xfrm>
            <a:off x="2324100" y="19221450"/>
            <a:ext cx="1476375" cy="2381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20</a:t>
            </a:r>
            <a:r>
              <a:rPr lang="es-CO" sz="1100" baseline="0">
                <a:solidFill>
                  <a:schemeClr val="bg1"/>
                </a:solidFill>
              </a:rPr>
              <a:t> de febrero de 2021</a:t>
            </a:r>
            <a:endParaRPr lang="es-CO" sz="1100">
              <a:solidFill>
                <a:schemeClr val="bg1"/>
              </a:solidFill>
            </a:endParaRPr>
          </a:p>
        </xdr:txBody>
      </xdr:sp>
    </xdr:grpSp>
    <xdr:clientData/>
  </xdr:twoCellAnchor>
  <xdr:twoCellAnchor>
    <xdr:from>
      <xdr:col>7</xdr:col>
      <xdr:colOff>63165</xdr:colOff>
      <xdr:row>67</xdr:row>
      <xdr:rowOff>45055</xdr:rowOff>
    </xdr:from>
    <xdr:to>
      <xdr:col>9</xdr:col>
      <xdr:colOff>1796715</xdr:colOff>
      <xdr:row>79</xdr:row>
      <xdr:rowOff>26005</xdr:rowOff>
    </xdr:to>
    <xdr:grpSp>
      <xdr:nvGrpSpPr>
        <xdr:cNvPr id="62" name="Grupo 61">
          <a:extLst>
            <a:ext uri="{FF2B5EF4-FFF2-40B4-BE49-F238E27FC236}">
              <a16:creationId xmlns:a16="http://schemas.microsoft.com/office/drawing/2014/main" id="{2E0016F5-DB78-4F67-B95B-E465862002CB}"/>
            </a:ext>
          </a:extLst>
        </xdr:cNvPr>
        <xdr:cNvGrpSpPr/>
      </xdr:nvGrpSpPr>
      <xdr:grpSpPr>
        <a:xfrm>
          <a:off x="5844840" y="21857305"/>
          <a:ext cx="4095750" cy="2266950"/>
          <a:chOff x="5644815" y="16866205"/>
          <a:chExt cx="4095750" cy="2266950"/>
        </a:xfrm>
      </xdr:grpSpPr>
      <xdr:pic>
        <xdr:nvPicPr>
          <xdr:cNvPr id="63" name="Imagen 62">
            <a:extLst>
              <a:ext uri="{FF2B5EF4-FFF2-40B4-BE49-F238E27FC236}">
                <a16:creationId xmlns:a16="http://schemas.microsoft.com/office/drawing/2014/main" id="{6523461A-71A2-4336-88CB-D0658BD6B4F1}"/>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5644815" y="16866205"/>
            <a:ext cx="3988470" cy="2243515"/>
          </a:xfrm>
          <a:prstGeom prst="rect">
            <a:avLst/>
          </a:prstGeom>
        </xdr:spPr>
      </xdr:pic>
      <xdr:sp macro="" textlink="">
        <xdr:nvSpPr>
          <xdr:cNvPr id="64" name="CuadroTexto 63">
            <a:extLst>
              <a:ext uri="{FF2B5EF4-FFF2-40B4-BE49-F238E27FC236}">
                <a16:creationId xmlns:a16="http://schemas.microsoft.com/office/drawing/2014/main" id="{78B4109C-4A7A-45DC-838E-CD4E667DA95D}"/>
              </a:ext>
            </a:extLst>
          </xdr:cNvPr>
          <xdr:cNvSpPr txBox="1"/>
        </xdr:nvSpPr>
        <xdr:spPr>
          <a:xfrm>
            <a:off x="8264190" y="18895030"/>
            <a:ext cx="1476375" cy="2381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20</a:t>
            </a:r>
            <a:r>
              <a:rPr lang="es-CO" sz="1100" baseline="0">
                <a:solidFill>
                  <a:schemeClr val="bg1"/>
                </a:solidFill>
              </a:rPr>
              <a:t> de febrero de 2021</a:t>
            </a:r>
            <a:endParaRPr lang="es-CO" sz="1100">
              <a:solidFill>
                <a:schemeClr val="bg1"/>
              </a:solidFill>
            </a:endParaRPr>
          </a:p>
        </xdr:txBody>
      </xdr:sp>
    </xdr:grpSp>
    <xdr:clientData/>
  </xdr:twoCellAnchor>
  <xdr:twoCellAnchor editAs="oneCell">
    <xdr:from>
      <xdr:col>2</xdr:col>
      <xdr:colOff>245645</xdr:colOff>
      <xdr:row>51</xdr:row>
      <xdr:rowOff>76200</xdr:rowOff>
    </xdr:from>
    <xdr:to>
      <xdr:col>5</xdr:col>
      <xdr:colOff>914400</xdr:colOff>
      <xdr:row>64</xdr:row>
      <xdr:rowOff>116944</xdr:rowOff>
    </xdr:to>
    <xdr:pic>
      <xdr:nvPicPr>
        <xdr:cNvPr id="65" name="Imagen 64">
          <a:extLst>
            <a:ext uri="{FF2B5EF4-FFF2-40B4-BE49-F238E27FC236}">
              <a16:creationId xmlns:a16="http://schemas.microsoft.com/office/drawing/2014/main" id="{327472F2-ADD5-4AC5-A41D-1DD3824A3C6C}"/>
            </a:ext>
          </a:extLst>
        </xdr:cNvPr>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l="-1968" t="17890" r="1968" b="3521"/>
        <a:stretch/>
      </xdr:blipFill>
      <xdr:spPr>
        <a:xfrm>
          <a:off x="1137185" y="17137380"/>
          <a:ext cx="2817595" cy="2418184"/>
        </a:xfrm>
        <a:prstGeom prst="rect">
          <a:avLst/>
        </a:prstGeom>
      </xdr:spPr>
    </xdr:pic>
    <xdr:clientData/>
  </xdr:twoCellAnchor>
  <xdr:twoCellAnchor editAs="oneCell">
    <xdr:from>
      <xdr:col>7</xdr:col>
      <xdr:colOff>466725</xdr:colOff>
      <xdr:row>51</xdr:row>
      <xdr:rowOff>57149</xdr:rowOff>
    </xdr:from>
    <xdr:to>
      <xdr:col>9</xdr:col>
      <xdr:colOff>1133474</xdr:colOff>
      <xdr:row>64</xdr:row>
      <xdr:rowOff>124612</xdr:rowOff>
    </xdr:to>
    <xdr:pic>
      <xdr:nvPicPr>
        <xdr:cNvPr id="66" name="Imagen 65">
          <a:extLst>
            <a:ext uri="{FF2B5EF4-FFF2-40B4-BE49-F238E27FC236}">
              <a16:creationId xmlns:a16="http://schemas.microsoft.com/office/drawing/2014/main" id="{FB946565-94FA-499C-9F82-9E182A124B05}"/>
            </a:ext>
          </a:extLst>
        </xdr:cNvPr>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t="-152" b="20565"/>
        <a:stretch/>
      </xdr:blipFill>
      <xdr:spPr>
        <a:xfrm>
          <a:off x="6417945" y="17118329"/>
          <a:ext cx="3097529" cy="2444903"/>
        </a:xfrm>
        <a:prstGeom prst="rect">
          <a:avLst/>
        </a:prstGeom>
      </xdr:spPr>
    </xdr:pic>
    <xdr:clientData/>
  </xdr:twoCellAnchor>
  <xdr:twoCellAnchor editAs="oneCell">
    <xdr:from>
      <xdr:col>1</xdr:col>
      <xdr:colOff>400050</xdr:colOff>
      <xdr:row>82</xdr:row>
      <xdr:rowOff>123825</xdr:rowOff>
    </xdr:from>
    <xdr:to>
      <xdr:col>5</xdr:col>
      <xdr:colOff>1915298</xdr:colOff>
      <xdr:row>95</xdr:row>
      <xdr:rowOff>77553</xdr:rowOff>
    </xdr:to>
    <xdr:pic>
      <xdr:nvPicPr>
        <xdr:cNvPr id="67" name="Imagen 66">
          <a:extLst>
            <a:ext uri="{FF2B5EF4-FFF2-40B4-BE49-F238E27FC236}">
              <a16:creationId xmlns:a16="http://schemas.microsoft.com/office/drawing/2014/main" id="{BEC1AC5E-3857-4A7C-AA96-4CFAA1891302}"/>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l="1" r="-526" b="21579"/>
        <a:stretch/>
      </xdr:blipFill>
      <xdr:spPr>
        <a:xfrm>
          <a:off x="720090" y="24820245"/>
          <a:ext cx="4235588" cy="2331168"/>
        </a:xfrm>
        <a:prstGeom prst="rect">
          <a:avLst/>
        </a:prstGeom>
      </xdr:spPr>
    </xdr:pic>
    <xdr:clientData/>
  </xdr:twoCellAnchor>
  <xdr:twoCellAnchor editAs="oneCell">
    <xdr:from>
      <xdr:col>8</xdr:col>
      <xdr:colOff>552450</xdr:colOff>
      <xdr:row>38</xdr:row>
      <xdr:rowOff>76200</xdr:rowOff>
    </xdr:from>
    <xdr:to>
      <xdr:col>9</xdr:col>
      <xdr:colOff>2247901</xdr:colOff>
      <xdr:row>48</xdr:row>
      <xdr:rowOff>95250</xdr:rowOff>
    </xdr:to>
    <xdr:pic>
      <xdr:nvPicPr>
        <xdr:cNvPr id="68" name="Imagen 67">
          <a:extLst>
            <a:ext uri="{FF2B5EF4-FFF2-40B4-BE49-F238E27FC236}">
              <a16:creationId xmlns:a16="http://schemas.microsoft.com/office/drawing/2014/main" id="{4D985306-DABC-4CF5-AD0A-47EAD5A0C254}"/>
            </a:ext>
          </a:extLst>
        </xdr:cNvPr>
        <xdr:cNvPicPr>
          <a:picLocks noChangeAspect="1"/>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t="7234" b="19740"/>
        <a:stretch/>
      </xdr:blipFill>
      <xdr:spPr>
        <a:xfrm>
          <a:off x="8042910" y="13388340"/>
          <a:ext cx="2586991" cy="1847850"/>
        </a:xfrm>
        <a:prstGeom prst="rect">
          <a:avLst/>
        </a:prstGeom>
      </xdr:spPr>
    </xdr:pic>
    <xdr:clientData/>
  </xdr:twoCellAnchor>
  <xdr:twoCellAnchor>
    <xdr:from>
      <xdr:col>6</xdr:col>
      <xdr:colOff>482970</xdr:colOff>
      <xdr:row>82</xdr:row>
      <xdr:rowOff>178871</xdr:rowOff>
    </xdr:from>
    <xdr:to>
      <xdr:col>9</xdr:col>
      <xdr:colOff>1781175</xdr:colOff>
      <xdr:row>95</xdr:row>
      <xdr:rowOff>28575</xdr:rowOff>
    </xdr:to>
    <xdr:grpSp>
      <xdr:nvGrpSpPr>
        <xdr:cNvPr id="69" name="Grupo 68">
          <a:extLst>
            <a:ext uri="{FF2B5EF4-FFF2-40B4-BE49-F238E27FC236}">
              <a16:creationId xmlns:a16="http://schemas.microsoft.com/office/drawing/2014/main" id="{3E305C1F-DA6D-4E12-A74B-22A7BBE79996}"/>
            </a:ext>
          </a:extLst>
        </xdr:cNvPr>
        <xdr:cNvGrpSpPr/>
      </xdr:nvGrpSpPr>
      <xdr:grpSpPr>
        <a:xfrm>
          <a:off x="5693145" y="25439171"/>
          <a:ext cx="4231905" cy="2326204"/>
          <a:chOff x="5502645" y="24305696"/>
          <a:chExt cx="4231905" cy="2326204"/>
        </a:xfrm>
      </xdr:grpSpPr>
      <xdr:pic>
        <xdr:nvPicPr>
          <xdr:cNvPr id="70" name="Imagen 69">
            <a:extLst>
              <a:ext uri="{FF2B5EF4-FFF2-40B4-BE49-F238E27FC236}">
                <a16:creationId xmlns:a16="http://schemas.microsoft.com/office/drawing/2014/main" id="{84EE4B23-1307-4D16-B687-804352603730}"/>
              </a:ext>
            </a:extLst>
          </xdr:cNvPr>
          <xdr:cNvPicPr>
            <a:picLocks noChangeAspect="1"/>
          </xdr:cNvPicPr>
        </xdr:nvPicPr>
        <xdr:blipFill rotWithShape="1">
          <a:blip xmlns:r="http://schemas.openxmlformats.org/officeDocument/2006/relationships" r:embed="rId28">
            <a:extLst>
              <a:ext uri="{28A0092B-C50C-407E-A947-70E740481C1C}">
                <a14:useLocalDpi xmlns:a14="http://schemas.microsoft.com/office/drawing/2010/main" val="0"/>
              </a:ext>
            </a:extLst>
          </a:blip>
          <a:srcRect r="6327" b="30589"/>
          <a:stretch/>
        </xdr:blipFill>
        <xdr:spPr>
          <a:xfrm>
            <a:off x="5502645" y="24305696"/>
            <a:ext cx="4146180" cy="2304186"/>
          </a:xfrm>
          <a:prstGeom prst="rect">
            <a:avLst/>
          </a:prstGeom>
        </xdr:spPr>
      </xdr:pic>
      <xdr:sp macro="" textlink="">
        <xdr:nvSpPr>
          <xdr:cNvPr id="71" name="CuadroTexto 70">
            <a:extLst>
              <a:ext uri="{FF2B5EF4-FFF2-40B4-BE49-F238E27FC236}">
                <a16:creationId xmlns:a16="http://schemas.microsoft.com/office/drawing/2014/main" id="{02A8945A-2E80-465E-92ED-05B005E8574D}"/>
              </a:ext>
            </a:extLst>
          </xdr:cNvPr>
          <xdr:cNvSpPr txBox="1"/>
        </xdr:nvSpPr>
        <xdr:spPr>
          <a:xfrm>
            <a:off x="8220075" y="26374725"/>
            <a:ext cx="1514475" cy="2571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20 de febrero de 2021</a:t>
            </a:r>
          </a:p>
        </xdr:txBody>
      </xdr:sp>
    </xdr:grpSp>
    <xdr:clientData/>
  </xdr:twoCellAnchor>
  <xdr:twoCellAnchor editAs="oneCell">
    <xdr:from>
      <xdr:col>1</xdr:col>
      <xdr:colOff>197220</xdr:colOff>
      <xdr:row>98</xdr:row>
      <xdr:rowOff>169345</xdr:rowOff>
    </xdr:from>
    <xdr:to>
      <xdr:col>5</xdr:col>
      <xdr:colOff>1419225</xdr:colOff>
      <xdr:row>110</xdr:row>
      <xdr:rowOff>355342</xdr:rowOff>
    </xdr:to>
    <xdr:pic>
      <xdr:nvPicPr>
        <xdr:cNvPr id="72" name="Imagen 71">
          <a:extLst>
            <a:ext uri="{FF2B5EF4-FFF2-40B4-BE49-F238E27FC236}">
              <a16:creationId xmlns:a16="http://schemas.microsoft.com/office/drawing/2014/main" id="{99EC66D7-E08C-44A5-8230-55B3FCCDE292}"/>
            </a:ext>
          </a:extLst>
        </xdr:cNvPr>
        <xdr:cNvPicPr>
          <a:picLocks noChangeAspect="1"/>
        </xdr:cNvPicPr>
      </xdr:nvPicPr>
      <xdr:blipFill rotWithShape="1">
        <a:blip xmlns:r="http://schemas.openxmlformats.org/officeDocument/2006/relationships" r:embed="rId29">
          <a:extLst>
            <a:ext uri="{28A0092B-C50C-407E-A947-70E740481C1C}">
              <a14:useLocalDpi xmlns:a14="http://schemas.microsoft.com/office/drawing/2010/main" val="0"/>
            </a:ext>
          </a:extLst>
        </a:blip>
        <a:srcRect r="2464" b="16725"/>
        <a:stretch/>
      </xdr:blipFill>
      <xdr:spPr>
        <a:xfrm>
          <a:off x="517260" y="28889125"/>
          <a:ext cx="3942345" cy="2380557"/>
        </a:xfrm>
        <a:prstGeom prst="rect">
          <a:avLst/>
        </a:prstGeom>
      </xdr:spPr>
    </xdr:pic>
    <xdr:clientData/>
  </xdr:twoCellAnchor>
  <xdr:twoCellAnchor>
    <xdr:from>
      <xdr:col>5</xdr:col>
      <xdr:colOff>63870</xdr:colOff>
      <xdr:row>110</xdr:row>
      <xdr:rowOff>93145</xdr:rowOff>
    </xdr:from>
    <xdr:to>
      <xdr:col>5</xdr:col>
      <xdr:colOff>1578345</xdr:colOff>
      <xdr:row>110</xdr:row>
      <xdr:rowOff>350320</xdr:rowOff>
    </xdr:to>
    <xdr:sp macro="" textlink="">
      <xdr:nvSpPr>
        <xdr:cNvPr id="73" name="CuadroTexto 72">
          <a:extLst>
            <a:ext uri="{FF2B5EF4-FFF2-40B4-BE49-F238E27FC236}">
              <a16:creationId xmlns:a16="http://schemas.microsoft.com/office/drawing/2014/main" id="{B3F6A3BE-F1CD-4F5B-8873-E932241773CF}"/>
            </a:ext>
          </a:extLst>
        </xdr:cNvPr>
        <xdr:cNvSpPr txBox="1"/>
      </xdr:nvSpPr>
      <xdr:spPr>
        <a:xfrm>
          <a:off x="3104250" y="31007485"/>
          <a:ext cx="1514475" cy="2571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19</a:t>
          </a:r>
          <a:r>
            <a:rPr lang="es-CO" sz="1100" baseline="0">
              <a:solidFill>
                <a:schemeClr val="bg1"/>
              </a:solidFill>
            </a:rPr>
            <a:t> </a:t>
          </a:r>
          <a:r>
            <a:rPr lang="es-CO" sz="1100">
              <a:solidFill>
                <a:schemeClr val="bg1"/>
              </a:solidFill>
            </a:rPr>
            <a:t>de febrero de 2021</a:t>
          </a:r>
        </a:p>
      </xdr:txBody>
    </xdr:sp>
    <xdr:clientData/>
  </xdr:twoCellAnchor>
  <xdr:twoCellAnchor editAs="oneCell">
    <xdr:from>
      <xdr:col>6</xdr:col>
      <xdr:colOff>495348</xdr:colOff>
      <xdr:row>98</xdr:row>
      <xdr:rowOff>85725</xdr:rowOff>
    </xdr:from>
    <xdr:to>
      <xdr:col>9</xdr:col>
      <xdr:colOff>1714500</xdr:colOff>
      <xdr:row>110</xdr:row>
      <xdr:rowOff>429504</xdr:rowOff>
    </xdr:to>
    <xdr:pic>
      <xdr:nvPicPr>
        <xdr:cNvPr id="74" name="Imagen 73">
          <a:extLst>
            <a:ext uri="{FF2B5EF4-FFF2-40B4-BE49-F238E27FC236}">
              <a16:creationId xmlns:a16="http://schemas.microsoft.com/office/drawing/2014/main" id="{E5C79E61-58CB-4593-BE05-A22584BB7360}"/>
            </a:ext>
          </a:extLst>
        </xdr:cNvPr>
        <xdr:cNvPicPr>
          <a:picLocks noChangeAspect="1"/>
        </xdr:cNvPicPr>
      </xdr:nvPicPr>
      <xdr:blipFill rotWithShape="1">
        <a:blip xmlns:r="http://schemas.openxmlformats.org/officeDocument/2006/relationships" r:embed="rId30">
          <a:extLst>
            <a:ext uri="{28A0092B-C50C-407E-A947-70E740481C1C}">
              <a14:useLocalDpi xmlns:a14="http://schemas.microsoft.com/office/drawing/2010/main" val="0"/>
            </a:ext>
          </a:extLst>
        </a:blip>
        <a:srcRect b="15567"/>
        <a:stretch/>
      </xdr:blipFill>
      <xdr:spPr>
        <a:xfrm>
          <a:off x="5859828" y="28805505"/>
          <a:ext cx="4236672" cy="2538339"/>
        </a:xfrm>
        <a:prstGeom prst="rect">
          <a:avLst/>
        </a:prstGeom>
      </xdr:spPr>
    </xdr:pic>
    <xdr:clientData/>
  </xdr:twoCellAnchor>
  <xdr:twoCellAnchor>
    <xdr:from>
      <xdr:col>9</xdr:col>
      <xdr:colOff>276273</xdr:colOff>
      <xdr:row>110</xdr:row>
      <xdr:rowOff>161925</xdr:rowOff>
    </xdr:from>
    <xdr:to>
      <xdr:col>9</xdr:col>
      <xdr:colOff>1790748</xdr:colOff>
      <xdr:row>110</xdr:row>
      <xdr:rowOff>419100</xdr:rowOff>
    </xdr:to>
    <xdr:sp macro="" textlink="">
      <xdr:nvSpPr>
        <xdr:cNvPr id="75" name="CuadroTexto 74">
          <a:extLst>
            <a:ext uri="{FF2B5EF4-FFF2-40B4-BE49-F238E27FC236}">
              <a16:creationId xmlns:a16="http://schemas.microsoft.com/office/drawing/2014/main" id="{6E25CA72-FF36-48F0-8977-4326A829AB24}"/>
            </a:ext>
          </a:extLst>
        </xdr:cNvPr>
        <xdr:cNvSpPr txBox="1"/>
      </xdr:nvSpPr>
      <xdr:spPr>
        <a:xfrm>
          <a:off x="8658273" y="31076265"/>
          <a:ext cx="1514475" cy="2571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18</a:t>
          </a:r>
          <a:r>
            <a:rPr lang="es-CO" sz="1100" baseline="0">
              <a:solidFill>
                <a:schemeClr val="bg1"/>
              </a:solidFill>
            </a:rPr>
            <a:t> </a:t>
          </a:r>
          <a:r>
            <a:rPr lang="es-CO" sz="1100">
              <a:solidFill>
                <a:schemeClr val="bg1"/>
              </a:solidFill>
            </a:rPr>
            <a:t>de febrero de 2021</a:t>
          </a:r>
        </a:p>
      </xdr:txBody>
    </xdr:sp>
    <xdr:clientData/>
  </xdr:twoCellAnchor>
  <xdr:twoCellAnchor editAs="oneCell">
    <xdr:from>
      <xdr:col>4</xdr:col>
      <xdr:colOff>409575</xdr:colOff>
      <xdr:row>114</xdr:row>
      <xdr:rowOff>175052</xdr:rowOff>
    </xdr:from>
    <xdr:to>
      <xdr:col>5</xdr:col>
      <xdr:colOff>1952625</xdr:colOff>
      <xdr:row>124</xdr:row>
      <xdr:rowOff>0</xdr:rowOff>
    </xdr:to>
    <xdr:pic>
      <xdr:nvPicPr>
        <xdr:cNvPr id="76" name="Imagen 75">
          <a:extLst>
            <a:ext uri="{FF2B5EF4-FFF2-40B4-BE49-F238E27FC236}">
              <a16:creationId xmlns:a16="http://schemas.microsoft.com/office/drawing/2014/main" id="{2EFD7B41-D87C-4E3B-9C43-2D0B5B009A97}"/>
            </a:ext>
          </a:extLst>
        </xdr:cNvPr>
        <xdr:cNvPicPr>
          <a:picLocks noChangeAspect="1"/>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rcRect b="9160"/>
        <a:stretch/>
      </xdr:blipFill>
      <xdr:spPr>
        <a:xfrm>
          <a:off x="2634615" y="33154412"/>
          <a:ext cx="2358390" cy="1653748"/>
        </a:xfrm>
        <a:prstGeom prst="rect">
          <a:avLst/>
        </a:prstGeom>
      </xdr:spPr>
    </xdr:pic>
    <xdr:clientData/>
  </xdr:twoCellAnchor>
  <xdr:twoCellAnchor editAs="oneCell">
    <xdr:from>
      <xdr:col>0</xdr:col>
      <xdr:colOff>45213</xdr:colOff>
      <xdr:row>114</xdr:row>
      <xdr:rowOff>180975</xdr:rowOff>
    </xdr:from>
    <xdr:to>
      <xdr:col>4</xdr:col>
      <xdr:colOff>257175</xdr:colOff>
      <xdr:row>124</xdr:row>
      <xdr:rowOff>3842</xdr:rowOff>
    </xdr:to>
    <xdr:pic>
      <xdr:nvPicPr>
        <xdr:cNvPr id="77" name="Imagen 76">
          <a:extLst>
            <a:ext uri="{FF2B5EF4-FFF2-40B4-BE49-F238E27FC236}">
              <a16:creationId xmlns:a16="http://schemas.microsoft.com/office/drawing/2014/main" id="{B1F58288-9B24-45EC-A719-16FF8CF89FCE}"/>
            </a:ext>
          </a:extLst>
        </xdr:cNvPr>
        <xdr:cNvPicPr>
          <a:picLocks noChangeAspect="1"/>
        </xdr:cNvPicPr>
      </xdr:nvPicPr>
      <xdr:blipFill rotWithShape="1">
        <a:blip xmlns:r="http://schemas.openxmlformats.org/officeDocument/2006/relationships" r:embed="rId32" cstate="print">
          <a:extLst>
            <a:ext uri="{28A0092B-C50C-407E-A947-70E740481C1C}">
              <a14:useLocalDpi xmlns:a14="http://schemas.microsoft.com/office/drawing/2010/main" val="0"/>
            </a:ext>
          </a:extLst>
        </a:blip>
        <a:srcRect b="8292"/>
        <a:stretch/>
      </xdr:blipFill>
      <xdr:spPr>
        <a:xfrm>
          <a:off x="45213" y="33160335"/>
          <a:ext cx="2437002" cy="1651667"/>
        </a:xfrm>
        <a:prstGeom prst="rect">
          <a:avLst/>
        </a:prstGeom>
      </xdr:spPr>
    </xdr:pic>
    <xdr:clientData/>
  </xdr:twoCellAnchor>
  <xdr:twoCellAnchor>
    <xdr:from>
      <xdr:col>1</xdr:col>
      <xdr:colOff>509246</xdr:colOff>
      <xdr:row>128</xdr:row>
      <xdr:rowOff>60464</xdr:rowOff>
    </xdr:from>
    <xdr:to>
      <xdr:col>5</xdr:col>
      <xdr:colOff>1400175</xdr:colOff>
      <xdr:row>141</xdr:row>
      <xdr:rowOff>152400</xdr:rowOff>
    </xdr:to>
    <xdr:grpSp>
      <xdr:nvGrpSpPr>
        <xdr:cNvPr id="78" name="Grupo 77">
          <a:extLst>
            <a:ext uri="{FF2B5EF4-FFF2-40B4-BE49-F238E27FC236}">
              <a16:creationId xmlns:a16="http://schemas.microsoft.com/office/drawing/2014/main" id="{22BB42E3-391F-453E-AEC0-A057139174BA}"/>
            </a:ext>
          </a:extLst>
        </xdr:cNvPr>
        <xdr:cNvGrpSpPr/>
      </xdr:nvGrpSpPr>
      <xdr:grpSpPr>
        <a:xfrm>
          <a:off x="823571" y="36922214"/>
          <a:ext cx="3529354" cy="2568436"/>
          <a:chOff x="833096" y="35693489"/>
          <a:chExt cx="3529354" cy="2568436"/>
        </a:xfrm>
      </xdr:grpSpPr>
      <xdr:pic>
        <xdr:nvPicPr>
          <xdr:cNvPr id="79" name="Imagen 78">
            <a:extLst>
              <a:ext uri="{FF2B5EF4-FFF2-40B4-BE49-F238E27FC236}">
                <a16:creationId xmlns:a16="http://schemas.microsoft.com/office/drawing/2014/main" id="{B12FE53E-AC6D-4D21-88AD-984F4322C0A1}"/>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833096" y="35693489"/>
            <a:ext cx="3424579" cy="2568436"/>
          </a:xfrm>
          <a:prstGeom prst="rect">
            <a:avLst/>
          </a:prstGeom>
        </xdr:spPr>
      </xdr:pic>
      <xdr:sp macro="" textlink="">
        <xdr:nvSpPr>
          <xdr:cNvPr id="80" name="CuadroTexto 79">
            <a:extLst>
              <a:ext uri="{FF2B5EF4-FFF2-40B4-BE49-F238E27FC236}">
                <a16:creationId xmlns:a16="http://schemas.microsoft.com/office/drawing/2014/main" id="{E0BEBA35-1C23-43C6-8114-251EBC45152B}"/>
              </a:ext>
            </a:extLst>
          </xdr:cNvPr>
          <xdr:cNvSpPr txBox="1"/>
        </xdr:nvSpPr>
        <xdr:spPr>
          <a:xfrm>
            <a:off x="2847975" y="38014275"/>
            <a:ext cx="1514475"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23 de</a:t>
            </a:r>
            <a:r>
              <a:rPr lang="es-CO" sz="1100" baseline="0">
                <a:solidFill>
                  <a:schemeClr val="bg1"/>
                </a:solidFill>
              </a:rPr>
              <a:t> febrero de 2021</a:t>
            </a:r>
            <a:endParaRPr lang="es-CO" sz="1100">
              <a:solidFill>
                <a:schemeClr val="bg1"/>
              </a:solidFill>
            </a:endParaRPr>
          </a:p>
        </xdr:txBody>
      </xdr:sp>
    </xdr:grpSp>
    <xdr:clientData/>
  </xdr:twoCellAnchor>
  <xdr:twoCellAnchor>
    <xdr:from>
      <xdr:col>7</xdr:col>
      <xdr:colOff>504371</xdr:colOff>
      <xdr:row>112</xdr:row>
      <xdr:rowOff>78319</xdr:rowOff>
    </xdr:from>
    <xdr:to>
      <xdr:col>9</xdr:col>
      <xdr:colOff>1633197</xdr:colOff>
      <xdr:row>125</xdr:row>
      <xdr:rowOff>159622</xdr:rowOff>
    </xdr:to>
    <xdr:grpSp>
      <xdr:nvGrpSpPr>
        <xdr:cNvPr id="81" name="Grupo 80">
          <a:extLst>
            <a:ext uri="{FF2B5EF4-FFF2-40B4-BE49-F238E27FC236}">
              <a16:creationId xmlns:a16="http://schemas.microsoft.com/office/drawing/2014/main" id="{B377B7B6-2DCE-404B-8C9C-D45146799F24}"/>
            </a:ext>
          </a:extLst>
        </xdr:cNvPr>
        <xdr:cNvGrpSpPr/>
      </xdr:nvGrpSpPr>
      <xdr:grpSpPr>
        <a:xfrm>
          <a:off x="6286046" y="33463444"/>
          <a:ext cx="3491026" cy="2557803"/>
          <a:chOff x="6009821" y="35711344"/>
          <a:chExt cx="3491026" cy="2557803"/>
        </a:xfrm>
      </xdr:grpSpPr>
      <xdr:pic>
        <xdr:nvPicPr>
          <xdr:cNvPr id="82" name="Imagen 81">
            <a:extLst>
              <a:ext uri="{FF2B5EF4-FFF2-40B4-BE49-F238E27FC236}">
                <a16:creationId xmlns:a16="http://schemas.microsoft.com/office/drawing/2014/main" id="{6760DFE2-B633-4013-953E-17BB385DE949}"/>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6009821" y="35711344"/>
            <a:ext cx="3410403" cy="2557803"/>
          </a:xfrm>
          <a:prstGeom prst="rect">
            <a:avLst/>
          </a:prstGeom>
        </xdr:spPr>
      </xdr:pic>
      <xdr:sp macro="" textlink="">
        <xdr:nvSpPr>
          <xdr:cNvPr id="83" name="CuadroTexto 82">
            <a:extLst>
              <a:ext uri="{FF2B5EF4-FFF2-40B4-BE49-F238E27FC236}">
                <a16:creationId xmlns:a16="http://schemas.microsoft.com/office/drawing/2014/main" id="{BE652F8F-9AFD-4BE2-B0A6-EA031384C1B1}"/>
              </a:ext>
            </a:extLst>
          </xdr:cNvPr>
          <xdr:cNvSpPr txBox="1"/>
        </xdr:nvSpPr>
        <xdr:spPr>
          <a:xfrm>
            <a:off x="7986372" y="38020163"/>
            <a:ext cx="1514475"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23 de</a:t>
            </a:r>
            <a:r>
              <a:rPr lang="es-CO" sz="1100" baseline="0">
                <a:solidFill>
                  <a:schemeClr val="bg1"/>
                </a:solidFill>
              </a:rPr>
              <a:t> febrero de 2021</a:t>
            </a:r>
            <a:endParaRPr lang="es-CO" sz="1100">
              <a:solidFill>
                <a:schemeClr val="bg1"/>
              </a:solidFill>
            </a:endParaRPr>
          </a:p>
        </xdr:txBody>
      </xdr:sp>
    </xdr:grpSp>
    <xdr:clientData/>
  </xdr:twoCellAnchor>
  <xdr:twoCellAnchor>
    <xdr:from>
      <xdr:col>7</xdr:col>
      <xdr:colOff>185320</xdr:colOff>
      <xdr:row>128</xdr:row>
      <xdr:rowOff>66674</xdr:rowOff>
    </xdr:from>
    <xdr:to>
      <xdr:col>9</xdr:col>
      <xdr:colOff>1333499</xdr:colOff>
      <xdr:row>141</xdr:row>
      <xdr:rowOff>123825</xdr:rowOff>
    </xdr:to>
    <xdr:grpSp>
      <xdr:nvGrpSpPr>
        <xdr:cNvPr id="84" name="Grupo 83">
          <a:extLst>
            <a:ext uri="{FF2B5EF4-FFF2-40B4-BE49-F238E27FC236}">
              <a16:creationId xmlns:a16="http://schemas.microsoft.com/office/drawing/2014/main" id="{C465FF48-2C8F-4896-9C0C-777FB3E36F7F}"/>
            </a:ext>
          </a:extLst>
        </xdr:cNvPr>
        <xdr:cNvGrpSpPr/>
      </xdr:nvGrpSpPr>
      <xdr:grpSpPr>
        <a:xfrm>
          <a:off x="5966995" y="36928424"/>
          <a:ext cx="3510379" cy="2533651"/>
          <a:chOff x="775871" y="39862124"/>
          <a:chExt cx="3276600" cy="2352675"/>
        </a:xfrm>
      </xdr:grpSpPr>
      <xdr:pic>
        <xdr:nvPicPr>
          <xdr:cNvPr id="85" name="Imagen 84">
            <a:extLst>
              <a:ext uri="{FF2B5EF4-FFF2-40B4-BE49-F238E27FC236}">
                <a16:creationId xmlns:a16="http://schemas.microsoft.com/office/drawing/2014/main" id="{90D9C3A2-6D8D-4217-B3D9-8E9B580CF7BF}"/>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775871" y="39862124"/>
            <a:ext cx="3119853" cy="2339891"/>
          </a:xfrm>
          <a:prstGeom prst="rect">
            <a:avLst/>
          </a:prstGeom>
        </xdr:spPr>
      </xdr:pic>
      <xdr:sp macro="" textlink="">
        <xdr:nvSpPr>
          <xdr:cNvPr id="86" name="CuadroTexto 85">
            <a:extLst>
              <a:ext uri="{FF2B5EF4-FFF2-40B4-BE49-F238E27FC236}">
                <a16:creationId xmlns:a16="http://schemas.microsoft.com/office/drawing/2014/main" id="{1F44F36A-7E81-4A96-A11B-A05CF66EC2F9}"/>
              </a:ext>
            </a:extLst>
          </xdr:cNvPr>
          <xdr:cNvSpPr txBox="1"/>
        </xdr:nvSpPr>
        <xdr:spPr>
          <a:xfrm>
            <a:off x="2537996" y="41986199"/>
            <a:ext cx="1514475"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23 de</a:t>
            </a:r>
            <a:r>
              <a:rPr lang="es-CO" sz="1100" baseline="0">
                <a:solidFill>
                  <a:schemeClr val="bg1"/>
                </a:solidFill>
              </a:rPr>
              <a:t> febrero de 2021</a:t>
            </a:r>
            <a:endParaRPr lang="es-CO" sz="1100">
              <a:solidFill>
                <a:schemeClr val="bg1"/>
              </a:solidFill>
            </a:endParaRPr>
          </a:p>
        </xdr:txBody>
      </xdr:sp>
    </xdr:grpSp>
    <xdr:clientData/>
  </xdr:twoCellAnchor>
  <xdr:twoCellAnchor>
    <xdr:from>
      <xdr:col>2</xdr:col>
      <xdr:colOff>97197</xdr:colOff>
      <xdr:row>144</xdr:row>
      <xdr:rowOff>42038</xdr:rowOff>
    </xdr:from>
    <xdr:to>
      <xdr:col>5</xdr:col>
      <xdr:colOff>1354497</xdr:colOff>
      <xdr:row>156</xdr:row>
      <xdr:rowOff>156338</xdr:rowOff>
    </xdr:to>
    <xdr:grpSp>
      <xdr:nvGrpSpPr>
        <xdr:cNvPr id="87" name="Grupo 86">
          <a:extLst>
            <a:ext uri="{FF2B5EF4-FFF2-40B4-BE49-F238E27FC236}">
              <a16:creationId xmlns:a16="http://schemas.microsoft.com/office/drawing/2014/main" id="{3633AA9F-D11E-448B-926E-B399526BF5AA}"/>
            </a:ext>
          </a:extLst>
        </xdr:cNvPr>
        <xdr:cNvGrpSpPr/>
      </xdr:nvGrpSpPr>
      <xdr:grpSpPr>
        <a:xfrm>
          <a:off x="963972" y="41028113"/>
          <a:ext cx="3343275" cy="2400300"/>
          <a:chOff x="5993172" y="39818438"/>
          <a:chExt cx="3343275" cy="2400300"/>
        </a:xfrm>
      </xdr:grpSpPr>
      <xdr:pic>
        <xdr:nvPicPr>
          <xdr:cNvPr id="88" name="Imagen 87">
            <a:extLst>
              <a:ext uri="{FF2B5EF4-FFF2-40B4-BE49-F238E27FC236}">
                <a16:creationId xmlns:a16="http://schemas.microsoft.com/office/drawing/2014/main" id="{04125329-7156-46BE-8B0B-5D5E4E971066}"/>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5993172" y="39818438"/>
            <a:ext cx="3169878" cy="2377409"/>
          </a:xfrm>
          <a:prstGeom prst="rect">
            <a:avLst/>
          </a:prstGeom>
        </xdr:spPr>
      </xdr:pic>
      <xdr:sp macro="" textlink="">
        <xdr:nvSpPr>
          <xdr:cNvPr id="89" name="CuadroTexto 88">
            <a:extLst>
              <a:ext uri="{FF2B5EF4-FFF2-40B4-BE49-F238E27FC236}">
                <a16:creationId xmlns:a16="http://schemas.microsoft.com/office/drawing/2014/main" id="{8251A27A-2D80-40D2-8976-4F27186CB32D}"/>
              </a:ext>
            </a:extLst>
          </xdr:cNvPr>
          <xdr:cNvSpPr txBox="1"/>
        </xdr:nvSpPr>
        <xdr:spPr>
          <a:xfrm>
            <a:off x="7821972" y="41990138"/>
            <a:ext cx="1514475"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23 de</a:t>
            </a:r>
            <a:r>
              <a:rPr lang="es-CO" sz="1100" baseline="0">
                <a:solidFill>
                  <a:schemeClr val="bg1"/>
                </a:solidFill>
              </a:rPr>
              <a:t> febrero de 2021</a:t>
            </a:r>
            <a:endParaRPr lang="es-CO" sz="1100">
              <a:solidFill>
                <a:schemeClr val="bg1"/>
              </a:solidFill>
            </a:endParaRPr>
          </a:p>
        </xdr:txBody>
      </xdr:sp>
    </xdr:grpSp>
    <xdr:clientData/>
  </xdr:twoCellAnchor>
  <xdr:twoCellAnchor>
    <xdr:from>
      <xdr:col>7</xdr:col>
      <xdr:colOff>402072</xdr:colOff>
      <xdr:row>144</xdr:row>
      <xdr:rowOff>57160</xdr:rowOff>
    </xdr:from>
    <xdr:to>
      <xdr:col>9</xdr:col>
      <xdr:colOff>1270997</xdr:colOff>
      <xdr:row>156</xdr:row>
      <xdr:rowOff>166415</xdr:rowOff>
    </xdr:to>
    <xdr:grpSp>
      <xdr:nvGrpSpPr>
        <xdr:cNvPr id="90" name="Grupo 89">
          <a:extLst>
            <a:ext uri="{FF2B5EF4-FFF2-40B4-BE49-F238E27FC236}">
              <a16:creationId xmlns:a16="http://schemas.microsoft.com/office/drawing/2014/main" id="{37CD2E89-FB3A-493B-8522-D06A8F9069C0}"/>
            </a:ext>
          </a:extLst>
        </xdr:cNvPr>
        <xdr:cNvGrpSpPr/>
      </xdr:nvGrpSpPr>
      <xdr:grpSpPr>
        <a:xfrm>
          <a:off x="6183747" y="41043235"/>
          <a:ext cx="3231125" cy="2395255"/>
          <a:chOff x="649722" y="43495629"/>
          <a:chExt cx="3398403" cy="2562892"/>
        </a:xfrm>
      </xdr:grpSpPr>
      <xdr:pic>
        <xdr:nvPicPr>
          <xdr:cNvPr id="91" name="Imagen 90">
            <a:extLst>
              <a:ext uri="{FF2B5EF4-FFF2-40B4-BE49-F238E27FC236}">
                <a16:creationId xmlns:a16="http://schemas.microsoft.com/office/drawing/2014/main" id="{D81E21B4-8D5D-4B89-9886-9F945A1E0786}"/>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649722" y="43495629"/>
            <a:ext cx="3398403" cy="2548804"/>
          </a:xfrm>
          <a:prstGeom prst="rect">
            <a:avLst/>
          </a:prstGeom>
        </xdr:spPr>
      </xdr:pic>
      <xdr:sp macro="" textlink="">
        <xdr:nvSpPr>
          <xdr:cNvPr id="92" name="CuadroTexto 91">
            <a:extLst>
              <a:ext uri="{FF2B5EF4-FFF2-40B4-BE49-F238E27FC236}">
                <a16:creationId xmlns:a16="http://schemas.microsoft.com/office/drawing/2014/main" id="{6D5082C2-F7E1-43F0-A2AD-833AC914FE6E}"/>
              </a:ext>
            </a:extLst>
          </xdr:cNvPr>
          <xdr:cNvSpPr txBox="1"/>
        </xdr:nvSpPr>
        <xdr:spPr>
          <a:xfrm>
            <a:off x="2520983" y="45798936"/>
            <a:ext cx="1522753" cy="25958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23 de</a:t>
            </a:r>
            <a:r>
              <a:rPr lang="es-CO" sz="1100" baseline="0">
                <a:solidFill>
                  <a:schemeClr val="bg1"/>
                </a:solidFill>
              </a:rPr>
              <a:t> febrero de 2021</a:t>
            </a:r>
            <a:endParaRPr lang="es-CO" sz="1100">
              <a:solidFill>
                <a:schemeClr val="bg1"/>
              </a:solidFill>
            </a:endParaRPr>
          </a:p>
        </xdr:txBody>
      </xdr:sp>
    </xdr:grpSp>
    <xdr:clientData/>
  </xdr:twoCellAnchor>
  <xdr:twoCellAnchor>
    <xdr:from>
      <xdr:col>0</xdr:col>
      <xdr:colOff>56773</xdr:colOff>
      <xdr:row>161</xdr:row>
      <xdr:rowOff>9524</xdr:rowOff>
    </xdr:from>
    <xdr:to>
      <xdr:col>4</xdr:col>
      <xdr:colOff>409576</xdr:colOff>
      <xdr:row>170</xdr:row>
      <xdr:rowOff>150171</xdr:rowOff>
    </xdr:to>
    <xdr:grpSp>
      <xdr:nvGrpSpPr>
        <xdr:cNvPr id="93" name="Grupo 92">
          <a:extLst>
            <a:ext uri="{FF2B5EF4-FFF2-40B4-BE49-F238E27FC236}">
              <a16:creationId xmlns:a16="http://schemas.microsoft.com/office/drawing/2014/main" id="{CC3374C2-9773-45DC-9520-B17F7C9E2003}"/>
            </a:ext>
          </a:extLst>
        </xdr:cNvPr>
        <xdr:cNvGrpSpPr/>
      </xdr:nvGrpSpPr>
      <xdr:grpSpPr>
        <a:xfrm>
          <a:off x="56773" y="45262799"/>
          <a:ext cx="2514978" cy="1855147"/>
          <a:chOff x="5076447" y="43881674"/>
          <a:chExt cx="2619375" cy="1855147"/>
        </a:xfrm>
      </xdr:grpSpPr>
      <xdr:pic>
        <xdr:nvPicPr>
          <xdr:cNvPr id="94" name="Imagen 93">
            <a:extLst>
              <a:ext uri="{FF2B5EF4-FFF2-40B4-BE49-F238E27FC236}">
                <a16:creationId xmlns:a16="http://schemas.microsoft.com/office/drawing/2014/main" id="{A8CC9F6A-6E9B-4ACF-A163-04498346E358}"/>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5076447" y="43881674"/>
            <a:ext cx="2473529" cy="1855147"/>
          </a:xfrm>
          <a:prstGeom prst="rect">
            <a:avLst/>
          </a:prstGeom>
        </xdr:spPr>
      </xdr:pic>
      <xdr:sp macro="" textlink="">
        <xdr:nvSpPr>
          <xdr:cNvPr id="95" name="CuadroTexto 94">
            <a:extLst>
              <a:ext uri="{FF2B5EF4-FFF2-40B4-BE49-F238E27FC236}">
                <a16:creationId xmlns:a16="http://schemas.microsoft.com/office/drawing/2014/main" id="{E90DD6A0-CF11-48F1-A2AF-EA455455C94B}"/>
              </a:ext>
            </a:extLst>
          </xdr:cNvPr>
          <xdr:cNvSpPr txBox="1"/>
        </xdr:nvSpPr>
        <xdr:spPr>
          <a:xfrm>
            <a:off x="6181347" y="45500924"/>
            <a:ext cx="1514475"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23 de</a:t>
            </a:r>
            <a:r>
              <a:rPr lang="es-CO" sz="1100" baseline="0">
                <a:solidFill>
                  <a:schemeClr val="bg1"/>
                </a:solidFill>
              </a:rPr>
              <a:t> febrero de 2021</a:t>
            </a:r>
            <a:endParaRPr lang="es-CO" sz="1100">
              <a:solidFill>
                <a:schemeClr val="bg1"/>
              </a:solidFill>
            </a:endParaRPr>
          </a:p>
        </xdr:txBody>
      </xdr:sp>
    </xdr:grpSp>
    <xdr:clientData/>
  </xdr:twoCellAnchor>
  <xdr:twoCellAnchor>
    <xdr:from>
      <xdr:col>4</xdr:col>
      <xdr:colOff>438150</xdr:colOff>
      <xdr:row>161</xdr:row>
      <xdr:rowOff>3</xdr:rowOff>
    </xdr:from>
    <xdr:to>
      <xdr:col>6</xdr:col>
      <xdr:colOff>57150</xdr:colOff>
      <xdr:row>170</xdr:row>
      <xdr:rowOff>150023</xdr:rowOff>
    </xdr:to>
    <xdr:grpSp>
      <xdr:nvGrpSpPr>
        <xdr:cNvPr id="96" name="Grupo 95">
          <a:extLst>
            <a:ext uri="{FF2B5EF4-FFF2-40B4-BE49-F238E27FC236}">
              <a16:creationId xmlns:a16="http://schemas.microsoft.com/office/drawing/2014/main" id="{FB852999-A373-44D8-BE69-D9F31C38B3FD}"/>
            </a:ext>
          </a:extLst>
        </xdr:cNvPr>
        <xdr:cNvGrpSpPr/>
      </xdr:nvGrpSpPr>
      <xdr:grpSpPr>
        <a:xfrm>
          <a:off x="2600325" y="45253278"/>
          <a:ext cx="2667000" cy="1864520"/>
          <a:chOff x="7715250" y="43900728"/>
          <a:chExt cx="2609850" cy="1864520"/>
        </a:xfrm>
      </xdr:grpSpPr>
      <xdr:pic>
        <xdr:nvPicPr>
          <xdr:cNvPr id="97" name="Imagen 96">
            <a:extLst>
              <a:ext uri="{FF2B5EF4-FFF2-40B4-BE49-F238E27FC236}">
                <a16:creationId xmlns:a16="http://schemas.microsoft.com/office/drawing/2014/main" id="{8855680D-5541-44D4-9EA4-BCFAADF81B59}"/>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7715250" y="43900728"/>
            <a:ext cx="2486025" cy="1864520"/>
          </a:xfrm>
          <a:prstGeom prst="rect">
            <a:avLst/>
          </a:prstGeom>
        </xdr:spPr>
      </xdr:pic>
      <xdr:sp macro="" textlink="">
        <xdr:nvSpPr>
          <xdr:cNvPr id="98" name="CuadroTexto 97">
            <a:extLst>
              <a:ext uri="{FF2B5EF4-FFF2-40B4-BE49-F238E27FC236}">
                <a16:creationId xmlns:a16="http://schemas.microsoft.com/office/drawing/2014/main" id="{A99A58B4-2A01-4D38-81B9-0A1F994BCA68}"/>
              </a:ext>
            </a:extLst>
          </xdr:cNvPr>
          <xdr:cNvSpPr txBox="1"/>
        </xdr:nvSpPr>
        <xdr:spPr>
          <a:xfrm>
            <a:off x="8810625" y="45510453"/>
            <a:ext cx="1514475"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23 de</a:t>
            </a:r>
            <a:r>
              <a:rPr lang="es-CO" sz="1100" baseline="0">
                <a:solidFill>
                  <a:schemeClr val="bg1"/>
                </a:solidFill>
              </a:rPr>
              <a:t> febrero de 2021</a:t>
            </a:r>
            <a:endParaRPr lang="es-CO" sz="1100">
              <a:solidFill>
                <a:schemeClr val="bg1"/>
              </a:solidFill>
            </a:endParaRPr>
          </a:p>
        </xdr:txBody>
      </xdr:sp>
    </xdr:grpSp>
    <xdr:clientData/>
  </xdr:twoCellAnchor>
  <xdr:twoCellAnchor>
    <xdr:from>
      <xdr:col>7</xdr:col>
      <xdr:colOff>456896</xdr:colOff>
      <xdr:row>159</xdr:row>
      <xdr:rowOff>114300</xdr:rowOff>
    </xdr:from>
    <xdr:to>
      <xdr:col>9</xdr:col>
      <xdr:colOff>1666875</xdr:colOff>
      <xdr:row>172</xdr:row>
      <xdr:rowOff>150247</xdr:rowOff>
    </xdr:to>
    <xdr:grpSp>
      <xdr:nvGrpSpPr>
        <xdr:cNvPr id="99" name="Grupo 98">
          <a:extLst>
            <a:ext uri="{FF2B5EF4-FFF2-40B4-BE49-F238E27FC236}">
              <a16:creationId xmlns:a16="http://schemas.microsoft.com/office/drawing/2014/main" id="{F1BEBD81-06CC-4214-B3E2-DA788A884AF9}"/>
            </a:ext>
          </a:extLst>
        </xdr:cNvPr>
        <xdr:cNvGrpSpPr/>
      </xdr:nvGrpSpPr>
      <xdr:grpSpPr>
        <a:xfrm>
          <a:off x="6238571" y="44986575"/>
          <a:ext cx="3572179" cy="2512447"/>
          <a:chOff x="961722" y="47365444"/>
          <a:chExt cx="3238500" cy="2314803"/>
        </a:xfrm>
      </xdr:grpSpPr>
      <xdr:pic>
        <xdr:nvPicPr>
          <xdr:cNvPr id="100" name="Imagen 99">
            <a:extLst>
              <a:ext uri="{FF2B5EF4-FFF2-40B4-BE49-F238E27FC236}">
                <a16:creationId xmlns:a16="http://schemas.microsoft.com/office/drawing/2014/main" id="{F973ACFD-B73C-43B1-BB54-1A43C83B5198}"/>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961722" y="47365444"/>
            <a:ext cx="3086403" cy="2314803"/>
          </a:xfrm>
          <a:prstGeom prst="rect">
            <a:avLst/>
          </a:prstGeom>
        </xdr:spPr>
      </xdr:pic>
      <xdr:sp macro="" textlink="">
        <xdr:nvSpPr>
          <xdr:cNvPr id="101" name="CuadroTexto 100">
            <a:extLst>
              <a:ext uri="{FF2B5EF4-FFF2-40B4-BE49-F238E27FC236}">
                <a16:creationId xmlns:a16="http://schemas.microsoft.com/office/drawing/2014/main" id="{5FD405E7-EF3D-48FB-8B33-C5CF0FD67D10}"/>
              </a:ext>
            </a:extLst>
          </xdr:cNvPr>
          <xdr:cNvSpPr txBox="1"/>
        </xdr:nvSpPr>
        <xdr:spPr>
          <a:xfrm>
            <a:off x="2685747" y="49441894"/>
            <a:ext cx="1514475"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23 de</a:t>
            </a:r>
            <a:r>
              <a:rPr lang="es-CO" sz="1100" baseline="0">
                <a:solidFill>
                  <a:schemeClr val="bg1"/>
                </a:solidFill>
              </a:rPr>
              <a:t> febrero de 2021</a:t>
            </a:r>
            <a:endParaRPr lang="es-CO" sz="1100">
              <a:solidFill>
                <a:schemeClr val="bg1"/>
              </a:solidFill>
            </a:endParaRPr>
          </a:p>
        </xdr:txBody>
      </xdr:sp>
    </xdr:grpSp>
    <xdr:clientData/>
  </xdr:twoCellAnchor>
  <xdr:twoCellAnchor>
    <xdr:from>
      <xdr:col>8</xdr:col>
      <xdr:colOff>570394</xdr:colOff>
      <xdr:row>185</xdr:row>
      <xdr:rowOff>74547</xdr:rowOff>
    </xdr:from>
    <xdr:to>
      <xdr:col>9</xdr:col>
      <xdr:colOff>1218094</xdr:colOff>
      <xdr:row>186</xdr:row>
      <xdr:rowOff>112647</xdr:rowOff>
    </xdr:to>
    <xdr:sp macro="" textlink="">
      <xdr:nvSpPr>
        <xdr:cNvPr id="102" name="CuadroTexto 101">
          <a:extLst>
            <a:ext uri="{FF2B5EF4-FFF2-40B4-BE49-F238E27FC236}">
              <a16:creationId xmlns:a16="http://schemas.microsoft.com/office/drawing/2014/main" id="{92FAF8D3-2D6D-4F67-90E3-B6D7F13BF4BC}"/>
            </a:ext>
          </a:extLst>
        </xdr:cNvPr>
        <xdr:cNvSpPr txBox="1"/>
      </xdr:nvSpPr>
      <xdr:spPr>
        <a:xfrm>
          <a:off x="8060854" y="49566447"/>
          <a:ext cx="1539240" cy="2209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23 de</a:t>
          </a:r>
          <a:r>
            <a:rPr lang="es-CO" sz="1100" baseline="0">
              <a:solidFill>
                <a:schemeClr val="bg1"/>
              </a:solidFill>
            </a:rPr>
            <a:t> febrero de 2021</a:t>
          </a:r>
          <a:endParaRPr lang="es-CO" sz="1100">
            <a:solidFill>
              <a:schemeClr val="bg1"/>
            </a:solidFill>
          </a:endParaRPr>
        </a:p>
      </xdr:txBody>
    </xdr:sp>
    <xdr:clientData/>
  </xdr:twoCellAnchor>
  <xdr:twoCellAnchor editAs="oneCell">
    <xdr:from>
      <xdr:col>2</xdr:col>
      <xdr:colOff>282877</xdr:colOff>
      <xdr:row>174</xdr:row>
      <xdr:rowOff>105001</xdr:rowOff>
    </xdr:from>
    <xdr:to>
      <xdr:col>5</xdr:col>
      <xdr:colOff>1193498</xdr:colOff>
      <xdr:row>186</xdr:row>
      <xdr:rowOff>66449</xdr:rowOff>
    </xdr:to>
    <xdr:pic>
      <xdr:nvPicPr>
        <xdr:cNvPr id="103" name="Imagen 102">
          <a:extLst>
            <a:ext uri="{FF2B5EF4-FFF2-40B4-BE49-F238E27FC236}">
              <a16:creationId xmlns:a16="http://schemas.microsoft.com/office/drawing/2014/main" id="{CEBF301E-5683-40CE-91B9-2E915027C039}"/>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1174417" y="47585221"/>
          <a:ext cx="3059461" cy="2156008"/>
        </a:xfrm>
        <a:prstGeom prst="rect">
          <a:avLst/>
        </a:prstGeom>
      </xdr:spPr>
    </xdr:pic>
    <xdr:clientData/>
  </xdr:twoCellAnchor>
  <xdr:twoCellAnchor>
    <xdr:from>
      <xdr:col>7</xdr:col>
      <xdr:colOff>400050</xdr:colOff>
      <xdr:row>174</xdr:row>
      <xdr:rowOff>36622</xdr:rowOff>
    </xdr:from>
    <xdr:to>
      <xdr:col>9</xdr:col>
      <xdr:colOff>1733550</xdr:colOff>
      <xdr:row>186</xdr:row>
      <xdr:rowOff>95255</xdr:rowOff>
    </xdr:to>
    <xdr:grpSp>
      <xdr:nvGrpSpPr>
        <xdr:cNvPr id="104" name="Grupo 103">
          <a:extLst>
            <a:ext uri="{FF2B5EF4-FFF2-40B4-BE49-F238E27FC236}">
              <a16:creationId xmlns:a16="http://schemas.microsoft.com/office/drawing/2014/main" id="{BFA70D97-4E0A-453E-AC91-79BCA9248C63}"/>
            </a:ext>
          </a:extLst>
        </xdr:cNvPr>
        <xdr:cNvGrpSpPr/>
      </xdr:nvGrpSpPr>
      <xdr:grpSpPr>
        <a:xfrm>
          <a:off x="6181725" y="48747472"/>
          <a:ext cx="3695700" cy="2344633"/>
          <a:chOff x="1237797" y="50804872"/>
          <a:chExt cx="3184994" cy="2344633"/>
        </a:xfrm>
      </xdr:grpSpPr>
      <xdr:pic>
        <xdr:nvPicPr>
          <xdr:cNvPr id="105" name="Imagen 104">
            <a:extLst>
              <a:ext uri="{FF2B5EF4-FFF2-40B4-BE49-F238E27FC236}">
                <a16:creationId xmlns:a16="http://schemas.microsoft.com/office/drawing/2014/main" id="{E6B5EDA3-0552-4DF5-90D2-49B399A04117}"/>
              </a:ext>
            </a:extLst>
          </xdr:cNvPr>
          <xdr:cNvPicPr>
            <a:picLocks noChangeAspect="1"/>
          </xdr:cNvPicPr>
        </xdr:nvPicPr>
        <xdr:blipFill rotWithShape="1">
          <a:blip xmlns:r="http://schemas.openxmlformats.org/officeDocument/2006/relationships" r:embed="rId42" cstate="print">
            <a:extLst>
              <a:ext uri="{28A0092B-C50C-407E-A947-70E740481C1C}">
                <a14:useLocalDpi xmlns:a14="http://schemas.microsoft.com/office/drawing/2010/main" val="0"/>
              </a:ext>
            </a:extLst>
          </a:blip>
          <a:srcRect l="32506" r="6973"/>
          <a:stretch/>
        </xdr:blipFill>
        <xdr:spPr>
          <a:xfrm rot="5400000">
            <a:off x="1518269" y="50524400"/>
            <a:ext cx="2344633" cy="2905577"/>
          </a:xfrm>
          <a:prstGeom prst="rect">
            <a:avLst/>
          </a:prstGeom>
        </xdr:spPr>
      </xdr:pic>
      <xdr:sp macro="" textlink="">
        <xdr:nvSpPr>
          <xdr:cNvPr id="106" name="CuadroTexto 105">
            <a:extLst>
              <a:ext uri="{FF2B5EF4-FFF2-40B4-BE49-F238E27FC236}">
                <a16:creationId xmlns:a16="http://schemas.microsoft.com/office/drawing/2014/main" id="{FC06E26A-A022-4D99-9C60-7537499360F7}"/>
              </a:ext>
            </a:extLst>
          </xdr:cNvPr>
          <xdr:cNvSpPr txBox="1"/>
        </xdr:nvSpPr>
        <xdr:spPr>
          <a:xfrm>
            <a:off x="2752272" y="52890847"/>
            <a:ext cx="1670519" cy="24811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23 de</a:t>
            </a:r>
            <a:r>
              <a:rPr lang="es-CO" sz="1100" baseline="0">
                <a:solidFill>
                  <a:schemeClr val="bg1"/>
                </a:solidFill>
              </a:rPr>
              <a:t> febrero de 2021</a:t>
            </a:r>
            <a:endParaRPr lang="es-CO" sz="1100">
              <a:solidFill>
                <a:schemeClr val="bg1"/>
              </a:solidFill>
            </a:endParaRPr>
          </a:p>
        </xdr:txBody>
      </xdr:sp>
    </xdr:grp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D:\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6.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59B77EE1\TERRAPLEN%20GRANULOMETRIA%20-%20LIMITES%20INVE%20123-125-126.xlsx"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Informe%20Semanal%20Gerencial%20No.%20279%20(%2019%20Feb-25%20Feb%2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Recipiente"/>
      <sheetName val="Guia rec."/>
      <sheetName val="MEZCLAS"/>
      <sheetName val="Módulo1"/>
      <sheetName val="Módulo11"/>
      <sheetName val="Hoja1"/>
      <sheetName val="Guia_rec_"/>
      <sheetName val="183-LAB-01-0260"/>
      <sheetName val="LIMITE"/>
    </sheetNames>
    <sheetDataSet>
      <sheetData sheetId="0" refreshError="1"/>
      <sheetData sheetId="1" refreshError="1"/>
      <sheetData sheetId="2" refreshError="1"/>
      <sheetData sheetId="3"/>
      <sheetData sheetId="4" refreshError="1"/>
      <sheetData sheetId="5" refreshError="1"/>
      <sheetData sheetId="6" refreshError="1"/>
      <sheetData sheetId="7"/>
      <sheetData sheetId="8" refreshError="1"/>
      <sheetData sheetId="9"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 val="#¡REF"/>
      <sheetName val="SEP-16"/>
      <sheetName val="Base Muestras"/>
      <sheetName val="#REF"/>
      <sheetName val="Datos"/>
    </sheetNames>
    <definedNames>
      <definedName name="Clasificacion"/>
    </definedNames>
    <sheetDataSet>
      <sheetData sheetId="0" refreshError="1"/>
      <sheetData sheetId="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edios"/>
      <sheetName val="Resumen"/>
      <sheetName val="Control Fondeos"/>
      <sheetName val="IPC"/>
      <sheetName val="Calculo intereses"/>
    </sheetNames>
    <sheetDataSet>
      <sheetData sheetId="0" refreshError="1"/>
      <sheetData sheetId="1" refreshError="1"/>
      <sheetData sheetId="2" refreshError="1"/>
      <sheetData sheetId="3">
        <row r="10">
          <cell r="T10">
            <v>105.91</v>
          </cell>
        </row>
        <row r="13">
          <cell r="S13">
            <v>105.7</v>
          </cell>
        </row>
        <row r="14">
          <cell r="S14">
            <v>105.36</v>
          </cell>
        </row>
        <row r="15">
          <cell r="S15">
            <v>104.97</v>
          </cell>
        </row>
        <row r="16">
          <cell r="S16">
            <v>104.97</v>
          </cell>
        </row>
        <row r="17">
          <cell r="S17">
            <v>104.96</v>
          </cell>
        </row>
        <row r="18">
          <cell r="S18">
            <v>105.29</v>
          </cell>
        </row>
        <row r="19">
          <cell r="S19">
            <v>105.23</v>
          </cell>
        </row>
        <row r="20">
          <cell r="S20">
            <v>105.08</v>
          </cell>
        </row>
        <row r="21">
          <cell r="S21">
            <v>105.48</v>
          </cell>
        </row>
      </sheetData>
      <sheetData sheetId="4"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 Id="rId4" Type="http://schemas.openxmlformats.org/officeDocument/2006/relationships/comments" Target="../comments1.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dimension ref="A2:AM397"/>
  <sheetViews>
    <sheetView showGridLines="0" tabSelected="1" zoomScale="98" zoomScaleNormal="98" zoomScaleSheetLayoutView="70" zoomScalePageLayoutView="95" workbookViewId="0">
      <selection activeCell="M41" sqref="M41:R41"/>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391"/>
      <c r="C2" s="391"/>
      <c r="D2" s="391"/>
      <c r="E2" s="391"/>
      <c r="F2" s="433" t="s">
        <v>350</v>
      </c>
      <c r="G2" s="433"/>
      <c r="H2" s="433"/>
      <c r="I2" s="433"/>
      <c r="J2" s="433"/>
      <c r="K2" s="433"/>
      <c r="L2" s="433"/>
      <c r="M2" s="433"/>
      <c r="N2" s="433"/>
      <c r="O2" s="433"/>
      <c r="P2" s="433"/>
      <c r="Q2" s="433" t="s">
        <v>0</v>
      </c>
      <c r="R2" s="433"/>
      <c r="S2" s="391"/>
      <c r="T2" s="391"/>
    </row>
    <row r="3" spans="2:20" ht="30" customHeight="1" x14ac:dyDescent="0.2">
      <c r="B3" s="391"/>
      <c r="C3" s="391"/>
      <c r="D3" s="391"/>
      <c r="E3" s="391"/>
      <c r="F3" s="433" t="s">
        <v>351</v>
      </c>
      <c r="G3" s="433"/>
      <c r="H3" s="391" t="s">
        <v>1</v>
      </c>
      <c r="I3" s="391"/>
      <c r="J3" s="391"/>
      <c r="K3" s="391"/>
      <c r="L3" s="391"/>
      <c r="M3" s="391"/>
      <c r="N3" s="391"/>
      <c r="O3" s="391"/>
      <c r="P3" s="391"/>
      <c r="Q3" s="433" t="s">
        <v>2</v>
      </c>
      <c r="R3" s="433"/>
      <c r="S3" s="542"/>
      <c r="T3" s="542"/>
    </row>
    <row r="4" spans="2:20" ht="30" customHeight="1" x14ac:dyDescent="0.2">
      <c r="B4" s="391"/>
      <c r="C4" s="391"/>
      <c r="D4" s="391"/>
      <c r="E4" s="391"/>
      <c r="F4" s="433" t="s">
        <v>352</v>
      </c>
      <c r="G4" s="433"/>
      <c r="H4" s="391" t="s">
        <v>3</v>
      </c>
      <c r="I4" s="391"/>
      <c r="J4" s="391"/>
      <c r="K4" s="391"/>
      <c r="L4" s="391"/>
      <c r="M4" s="391"/>
      <c r="N4" s="391"/>
      <c r="O4" s="391"/>
      <c r="P4" s="391"/>
      <c r="Q4" s="433" t="s">
        <v>4</v>
      </c>
      <c r="R4" s="433"/>
      <c r="S4" s="539" t="s">
        <v>1171</v>
      </c>
      <c r="T4" s="539"/>
    </row>
    <row r="5" spans="2:20" ht="14.25" x14ac:dyDescent="0.2">
      <c r="B5" s="540"/>
      <c r="C5" s="540"/>
      <c r="D5" s="540"/>
      <c r="E5" s="540"/>
      <c r="F5" s="540"/>
      <c r="G5" s="540"/>
      <c r="H5" s="540"/>
      <c r="I5" s="540"/>
      <c r="J5" s="540"/>
      <c r="K5" s="540"/>
      <c r="L5" s="540"/>
      <c r="M5" s="540"/>
      <c r="N5" s="540"/>
      <c r="O5" s="540"/>
      <c r="P5" s="540"/>
      <c r="Q5" s="540"/>
      <c r="R5" s="540"/>
      <c r="S5" s="540"/>
      <c r="T5" s="540"/>
    </row>
    <row r="6" spans="2:20" ht="22.5" customHeight="1" x14ac:dyDescent="0.2">
      <c r="B6" s="541" t="s">
        <v>5</v>
      </c>
      <c r="C6" s="541"/>
      <c r="D6" s="541"/>
      <c r="E6" s="541"/>
      <c r="F6" s="541"/>
      <c r="G6" s="541"/>
      <c r="H6" s="541"/>
      <c r="I6" s="541"/>
      <c r="J6" s="541"/>
      <c r="K6" s="541"/>
      <c r="L6" s="541"/>
      <c r="M6" s="541"/>
      <c r="N6" s="541"/>
      <c r="O6" s="541"/>
      <c r="P6" s="541"/>
      <c r="Q6" s="541"/>
      <c r="R6" s="541"/>
      <c r="S6" s="541"/>
      <c r="T6" s="541"/>
    </row>
    <row r="7" spans="2:20" ht="14.25" x14ac:dyDescent="0.2">
      <c r="B7" s="528"/>
      <c r="C7" s="528"/>
      <c r="D7" s="528"/>
      <c r="E7" s="528"/>
      <c r="F7" s="528"/>
      <c r="G7" s="528"/>
      <c r="H7" s="528"/>
      <c r="I7" s="528"/>
      <c r="J7" s="528"/>
      <c r="K7" s="528"/>
      <c r="L7" s="528"/>
      <c r="M7" s="528"/>
      <c r="N7" s="528"/>
      <c r="O7" s="528"/>
      <c r="P7" s="528"/>
      <c r="Q7" s="528"/>
      <c r="R7" s="528"/>
      <c r="S7" s="528"/>
      <c r="T7" s="528"/>
    </row>
    <row r="8" spans="2:20" ht="22.5" customHeight="1" x14ac:dyDescent="0.2">
      <c r="B8" s="534" t="s">
        <v>6</v>
      </c>
      <c r="C8" s="534"/>
      <c r="D8" s="534"/>
      <c r="E8" s="534"/>
      <c r="F8" s="534"/>
      <c r="G8" s="534"/>
      <c r="H8" s="534"/>
      <c r="I8" s="534"/>
      <c r="J8" s="534"/>
      <c r="K8" s="534"/>
      <c r="L8" s="534"/>
      <c r="M8" s="534"/>
      <c r="N8" s="534"/>
      <c r="O8" s="534"/>
      <c r="P8" s="534"/>
      <c r="Q8" s="534"/>
      <c r="R8" s="534"/>
      <c r="S8" s="534"/>
      <c r="T8" s="534"/>
    </row>
    <row r="9" spans="2:20" ht="22.5" customHeight="1" x14ac:dyDescent="0.2">
      <c r="B9" s="434" t="s">
        <v>7</v>
      </c>
      <c r="C9" s="535"/>
      <c r="D9" s="535"/>
      <c r="E9" s="535"/>
      <c r="F9" s="535"/>
      <c r="G9" s="535"/>
      <c r="H9" s="535"/>
      <c r="I9" s="535"/>
      <c r="J9" s="535"/>
      <c r="K9" s="535"/>
      <c r="L9" s="535"/>
      <c r="M9" s="535"/>
      <c r="N9" s="535"/>
      <c r="O9" s="535"/>
      <c r="P9" s="535"/>
      <c r="Q9" s="535"/>
      <c r="R9" s="535"/>
      <c r="S9" s="535"/>
      <c r="T9" s="435"/>
    </row>
    <row r="10" spans="2:20" ht="22.5" customHeight="1" x14ac:dyDescent="0.2">
      <c r="B10" s="429" t="s">
        <v>8</v>
      </c>
      <c r="C10" s="429"/>
      <c r="D10" s="429"/>
      <c r="E10" s="429"/>
      <c r="F10" s="441" t="s">
        <v>9</v>
      </c>
      <c r="G10" s="442"/>
      <c r="H10" s="442"/>
      <c r="I10" s="443"/>
      <c r="J10" s="555" t="s">
        <v>10</v>
      </c>
      <c r="K10" s="556"/>
      <c r="L10" s="556"/>
      <c r="M10" s="556"/>
      <c r="N10" s="557"/>
      <c r="O10" s="441" t="s">
        <v>11</v>
      </c>
      <c r="P10" s="442"/>
      <c r="Q10" s="443"/>
      <c r="R10" s="561" t="s">
        <v>12</v>
      </c>
      <c r="S10" s="561"/>
      <c r="T10" s="561"/>
    </row>
    <row r="11" spans="2:20" ht="22.5" customHeight="1" x14ac:dyDescent="0.2">
      <c r="B11" s="429"/>
      <c r="C11" s="429"/>
      <c r="D11" s="429"/>
      <c r="E11" s="429"/>
      <c r="F11" s="552"/>
      <c r="G11" s="553"/>
      <c r="H11" s="553"/>
      <c r="I11" s="554"/>
      <c r="J11" s="558"/>
      <c r="K11" s="559"/>
      <c r="L11" s="559"/>
      <c r="M11" s="559"/>
      <c r="N11" s="560"/>
      <c r="O11" s="552"/>
      <c r="P11" s="553"/>
      <c r="Q11" s="554"/>
      <c r="R11" s="561"/>
      <c r="S11" s="561"/>
      <c r="T11" s="561"/>
    </row>
    <row r="12" spans="2:20" ht="168" customHeight="1" x14ac:dyDescent="0.2">
      <c r="B12" s="586" t="s">
        <v>13</v>
      </c>
      <c r="C12" s="587"/>
      <c r="D12" s="587"/>
      <c r="E12" s="588"/>
      <c r="F12" s="546" t="s">
        <v>433</v>
      </c>
      <c r="G12" s="547"/>
      <c r="H12" s="547"/>
      <c r="I12" s="548"/>
      <c r="J12" s="543" t="s">
        <v>434</v>
      </c>
      <c r="K12" s="544"/>
      <c r="L12" s="544"/>
      <c r="M12" s="544"/>
      <c r="N12" s="545"/>
      <c r="O12" s="546" t="s">
        <v>436</v>
      </c>
      <c r="P12" s="547"/>
      <c r="Q12" s="548"/>
      <c r="R12" s="567" t="s">
        <v>482</v>
      </c>
      <c r="S12" s="568"/>
      <c r="T12" s="569"/>
    </row>
    <row r="13" spans="2:20" ht="168" customHeight="1" x14ac:dyDescent="0.2">
      <c r="B13" s="592"/>
      <c r="C13" s="593"/>
      <c r="D13" s="593"/>
      <c r="E13" s="594"/>
      <c r="F13" s="549"/>
      <c r="G13" s="550"/>
      <c r="H13" s="550"/>
      <c r="I13" s="551"/>
      <c r="J13" s="543" t="s">
        <v>435</v>
      </c>
      <c r="K13" s="544"/>
      <c r="L13" s="544"/>
      <c r="M13" s="544"/>
      <c r="N13" s="545"/>
      <c r="O13" s="549"/>
      <c r="P13" s="550"/>
      <c r="Q13" s="551"/>
      <c r="R13" s="570"/>
      <c r="S13" s="571"/>
      <c r="T13" s="572"/>
    </row>
    <row r="14" spans="2:20" ht="409.6" customHeight="1" x14ac:dyDescent="0.2">
      <c r="B14" s="586" t="s">
        <v>14</v>
      </c>
      <c r="C14" s="587"/>
      <c r="D14" s="587"/>
      <c r="E14" s="588"/>
      <c r="F14" s="546" t="s">
        <v>353</v>
      </c>
      <c r="G14" s="547"/>
      <c r="H14" s="547"/>
      <c r="I14" s="548"/>
      <c r="J14" s="546" t="s">
        <v>432</v>
      </c>
      <c r="K14" s="547"/>
      <c r="L14" s="547"/>
      <c r="M14" s="547"/>
      <c r="N14" s="548"/>
      <c r="O14" s="546" t="s">
        <v>437</v>
      </c>
      <c r="P14" s="547"/>
      <c r="Q14" s="548"/>
      <c r="R14" s="567" t="s">
        <v>483</v>
      </c>
      <c r="S14" s="568"/>
      <c r="T14" s="569"/>
    </row>
    <row r="15" spans="2:20" ht="241.9" customHeight="1" x14ac:dyDescent="0.2">
      <c r="B15" s="589"/>
      <c r="C15" s="590"/>
      <c r="D15" s="590"/>
      <c r="E15" s="591"/>
      <c r="F15" s="573"/>
      <c r="G15" s="574"/>
      <c r="H15" s="574"/>
      <c r="I15" s="575"/>
      <c r="J15" s="573"/>
      <c r="K15" s="574"/>
      <c r="L15" s="574"/>
      <c r="M15" s="574"/>
      <c r="N15" s="575"/>
      <c r="O15" s="573"/>
      <c r="P15" s="574"/>
      <c r="Q15" s="575"/>
      <c r="R15" s="595"/>
      <c r="S15" s="596"/>
      <c r="T15" s="597"/>
    </row>
    <row r="16" spans="2:20" ht="409.6" customHeight="1" x14ac:dyDescent="0.2">
      <c r="B16" s="586" t="s">
        <v>15</v>
      </c>
      <c r="C16" s="587"/>
      <c r="D16" s="587"/>
      <c r="E16" s="588"/>
      <c r="F16" s="546" t="s">
        <v>451</v>
      </c>
      <c r="G16" s="547"/>
      <c r="H16" s="547"/>
      <c r="I16" s="548"/>
      <c r="J16" s="546" t="s">
        <v>116</v>
      </c>
      <c r="K16" s="547"/>
      <c r="L16" s="547"/>
      <c r="M16" s="547"/>
      <c r="N16" s="548"/>
      <c r="O16" s="546" t="s">
        <v>431</v>
      </c>
      <c r="P16" s="547"/>
      <c r="Q16" s="548"/>
      <c r="R16" s="481" t="s">
        <v>484</v>
      </c>
      <c r="S16" s="482"/>
      <c r="T16" s="483"/>
    </row>
    <row r="17" spans="2:20" ht="409.6" customHeight="1" x14ac:dyDescent="0.2">
      <c r="B17" s="589"/>
      <c r="C17" s="590"/>
      <c r="D17" s="590"/>
      <c r="E17" s="591"/>
      <c r="F17" s="573"/>
      <c r="G17" s="574"/>
      <c r="H17" s="574"/>
      <c r="I17" s="575"/>
      <c r="J17" s="573"/>
      <c r="K17" s="574"/>
      <c r="L17" s="574"/>
      <c r="M17" s="574"/>
      <c r="N17" s="575"/>
      <c r="O17" s="573"/>
      <c r="P17" s="574"/>
      <c r="Q17" s="575"/>
      <c r="R17" s="484"/>
      <c r="S17" s="485"/>
      <c r="T17" s="486"/>
    </row>
    <row r="18" spans="2:20" ht="30.6" customHeight="1" x14ac:dyDescent="0.2">
      <c r="B18" s="592"/>
      <c r="C18" s="593"/>
      <c r="D18" s="593"/>
      <c r="E18" s="594"/>
      <c r="F18" s="549"/>
      <c r="G18" s="550"/>
      <c r="H18" s="550"/>
      <c r="I18" s="551"/>
      <c r="J18" s="549"/>
      <c r="K18" s="550"/>
      <c r="L18" s="550"/>
      <c r="M18" s="550"/>
      <c r="N18" s="551"/>
      <c r="O18" s="549"/>
      <c r="P18" s="550"/>
      <c r="Q18" s="551"/>
      <c r="R18" s="487"/>
      <c r="S18" s="488"/>
      <c r="T18" s="489"/>
    </row>
    <row r="19" spans="2:20" ht="409.6" customHeight="1" x14ac:dyDescent="0.2">
      <c r="B19" s="586" t="s">
        <v>16</v>
      </c>
      <c r="C19" s="587"/>
      <c r="D19" s="587"/>
      <c r="E19" s="588"/>
      <c r="F19" s="546" t="s">
        <v>430</v>
      </c>
      <c r="G19" s="547"/>
      <c r="H19" s="547"/>
      <c r="I19" s="548"/>
      <c r="J19" s="546" t="s">
        <v>428</v>
      </c>
      <c r="K19" s="547"/>
      <c r="L19" s="547"/>
      <c r="M19" s="547"/>
      <c r="N19" s="548"/>
      <c r="O19" s="481" t="s">
        <v>429</v>
      </c>
      <c r="P19" s="482"/>
      <c r="Q19" s="483"/>
      <c r="R19" s="576"/>
      <c r="S19" s="577"/>
      <c r="T19" s="578"/>
    </row>
    <row r="20" spans="2:20" ht="409.6" customHeight="1" x14ac:dyDescent="0.2">
      <c r="B20" s="589"/>
      <c r="C20" s="590"/>
      <c r="D20" s="590"/>
      <c r="E20" s="591"/>
      <c r="F20" s="573"/>
      <c r="G20" s="574"/>
      <c r="H20" s="574"/>
      <c r="I20" s="575"/>
      <c r="J20" s="573"/>
      <c r="K20" s="574"/>
      <c r="L20" s="574"/>
      <c r="M20" s="574"/>
      <c r="N20" s="575"/>
      <c r="O20" s="484"/>
      <c r="P20" s="485"/>
      <c r="Q20" s="486"/>
      <c r="R20" s="579"/>
      <c r="S20" s="580"/>
      <c r="T20" s="581"/>
    </row>
    <row r="21" spans="2:20" ht="409.6" customHeight="1" x14ac:dyDescent="0.2">
      <c r="B21" s="589"/>
      <c r="C21" s="590"/>
      <c r="D21" s="590"/>
      <c r="E21" s="591"/>
      <c r="F21" s="573"/>
      <c r="G21" s="574"/>
      <c r="H21" s="574"/>
      <c r="I21" s="575"/>
      <c r="J21" s="573"/>
      <c r="K21" s="574"/>
      <c r="L21" s="574"/>
      <c r="M21" s="574"/>
      <c r="N21" s="575"/>
      <c r="O21" s="484"/>
      <c r="P21" s="485"/>
      <c r="Q21" s="486"/>
      <c r="R21" s="579"/>
      <c r="S21" s="580"/>
      <c r="T21" s="581"/>
    </row>
    <row r="22" spans="2:20" ht="200.45" customHeight="1" x14ac:dyDescent="0.2">
      <c r="B22" s="592"/>
      <c r="C22" s="593"/>
      <c r="D22" s="593"/>
      <c r="E22" s="594"/>
      <c r="F22" s="549"/>
      <c r="G22" s="550"/>
      <c r="H22" s="550"/>
      <c r="I22" s="551"/>
      <c r="J22" s="549"/>
      <c r="K22" s="550"/>
      <c r="L22" s="550"/>
      <c r="M22" s="550"/>
      <c r="N22" s="551"/>
      <c r="O22" s="487"/>
      <c r="P22" s="488"/>
      <c r="Q22" s="489"/>
      <c r="R22" s="582"/>
      <c r="S22" s="583"/>
      <c r="T22" s="584"/>
    </row>
    <row r="23" spans="2:20" ht="107.45" customHeight="1" x14ac:dyDescent="0.2">
      <c r="B23" s="586" t="s">
        <v>17</v>
      </c>
      <c r="C23" s="587"/>
      <c r="D23" s="587"/>
      <c r="E23" s="588"/>
      <c r="F23" s="546" t="s">
        <v>438</v>
      </c>
      <c r="G23" s="547"/>
      <c r="H23" s="547"/>
      <c r="I23" s="548"/>
      <c r="J23" s="543" t="s">
        <v>18</v>
      </c>
      <c r="K23" s="544"/>
      <c r="L23" s="544"/>
      <c r="M23" s="544"/>
      <c r="N23" s="545"/>
      <c r="O23" s="546" t="s">
        <v>440</v>
      </c>
      <c r="P23" s="547"/>
      <c r="Q23" s="548"/>
      <c r="R23" s="546" t="s">
        <v>441</v>
      </c>
      <c r="S23" s="547"/>
      <c r="T23" s="548"/>
    </row>
    <row r="24" spans="2:20" ht="409.6" customHeight="1" x14ac:dyDescent="0.2">
      <c r="B24" s="589"/>
      <c r="C24" s="590"/>
      <c r="D24" s="590"/>
      <c r="E24" s="591"/>
      <c r="F24" s="573"/>
      <c r="G24" s="574"/>
      <c r="H24" s="574"/>
      <c r="I24" s="575"/>
      <c r="J24" s="546" t="s">
        <v>439</v>
      </c>
      <c r="K24" s="547"/>
      <c r="L24" s="547"/>
      <c r="M24" s="547"/>
      <c r="N24" s="548"/>
      <c r="O24" s="573"/>
      <c r="P24" s="574"/>
      <c r="Q24" s="575"/>
      <c r="R24" s="573"/>
      <c r="S24" s="574"/>
      <c r="T24" s="575"/>
    </row>
    <row r="25" spans="2:20" ht="409.6" customHeight="1" x14ac:dyDescent="0.2">
      <c r="B25" s="589"/>
      <c r="C25" s="590"/>
      <c r="D25" s="590"/>
      <c r="E25" s="591"/>
      <c r="F25" s="573"/>
      <c r="G25" s="574"/>
      <c r="H25" s="574"/>
      <c r="I25" s="575"/>
      <c r="J25" s="573"/>
      <c r="K25" s="574"/>
      <c r="L25" s="574"/>
      <c r="M25" s="574"/>
      <c r="N25" s="575"/>
      <c r="O25" s="573"/>
      <c r="P25" s="574"/>
      <c r="Q25" s="575"/>
      <c r="R25" s="573"/>
      <c r="S25" s="574"/>
      <c r="T25" s="575"/>
    </row>
    <row r="26" spans="2:20" ht="409.6" customHeight="1" x14ac:dyDescent="0.2">
      <c r="B26" s="589"/>
      <c r="C26" s="590"/>
      <c r="D26" s="590"/>
      <c r="E26" s="591"/>
      <c r="F26" s="573"/>
      <c r="G26" s="574"/>
      <c r="H26" s="574"/>
      <c r="I26" s="575"/>
      <c r="J26" s="573"/>
      <c r="K26" s="574"/>
      <c r="L26" s="574"/>
      <c r="M26" s="574"/>
      <c r="N26" s="575"/>
      <c r="O26" s="573"/>
      <c r="P26" s="574"/>
      <c r="Q26" s="575"/>
      <c r="R26" s="573"/>
      <c r="S26" s="574"/>
      <c r="T26" s="575"/>
    </row>
    <row r="27" spans="2:20" ht="144" customHeight="1" x14ac:dyDescent="0.2">
      <c r="B27" s="592"/>
      <c r="C27" s="593"/>
      <c r="D27" s="593"/>
      <c r="E27" s="594"/>
      <c r="F27" s="549"/>
      <c r="G27" s="550"/>
      <c r="H27" s="550"/>
      <c r="I27" s="551"/>
      <c r="J27" s="549"/>
      <c r="K27" s="550"/>
      <c r="L27" s="550"/>
      <c r="M27" s="550"/>
      <c r="N27" s="551"/>
      <c r="O27" s="549"/>
      <c r="P27" s="550"/>
      <c r="Q27" s="551"/>
      <c r="R27" s="549"/>
      <c r="S27" s="550"/>
      <c r="T27" s="551"/>
    </row>
    <row r="28" spans="2:20" ht="82.5" customHeight="1" x14ac:dyDescent="0.2">
      <c r="B28" s="433" t="s">
        <v>19</v>
      </c>
      <c r="C28" s="433"/>
      <c r="D28" s="433"/>
      <c r="E28" s="433"/>
      <c r="F28" s="543" t="s">
        <v>442</v>
      </c>
      <c r="G28" s="544"/>
      <c r="H28" s="544"/>
      <c r="I28" s="545"/>
      <c r="J28" s="585" t="s">
        <v>117</v>
      </c>
      <c r="K28" s="585"/>
      <c r="L28" s="585"/>
      <c r="M28" s="585"/>
      <c r="N28" s="585"/>
      <c r="O28" s="543" t="s">
        <v>118</v>
      </c>
      <c r="P28" s="544"/>
      <c r="Q28" s="545"/>
      <c r="R28" s="564"/>
      <c r="S28" s="565"/>
      <c r="T28" s="566"/>
    </row>
    <row r="29" spans="2:20" ht="133.9" customHeight="1" x14ac:dyDescent="0.2">
      <c r="B29" s="433" t="s">
        <v>20</v>
      </c>
      <c r="C29" s="433"/>
      <c r="D29" s="433"/>
      <c r="E29" s="433"/>
      <c r="F29" s="546" t="s">
        <v>444</v>
      </c>
      <c r="G29" s="547"/>
      <c r="H29" s="547"/>
      <c r="I29" s="548"/>
      <c r="J29" s="543" t="s">
        <v>445</v>
      </c>
      <c r="K29" s="544"/>
      <c r="L29" s="544"/>
      <c r="M29" s="544"/>
      <c r="N29" s="545"/>
      <c r="O29" s="543" t="s">
        <v>443</v>
      </c>
      <c r="P29" s="544"/>
      <c r="Q29" s="544"/>
      <c r="R29" s="388" t="s">
        <v>485</v>
      </c>
      <c r="S29" s="565"/>
      <c r="T29" s="566"/>
    </row>
    <row r="30" spans="2:20" ht="237.6" customHeight="1" x14ac:dyDescent="0.2">
      <c r="B30" s="433" t="s">
        <v>21</v>
      </c>
      <c r="C30" s="433"/>
      <c r="D30" s="433"/>
      <c r="E30" s="433"/>
      <c r="F30" s="564"/>
      <c r="G30" s="565"/>
      <c r="H30" s="565"/>
      <c r="I30" s="566"/>
      <c r="J30" s="632"/>
      <c r="K30" s="632"/>
      <c r="L30" s="632"/>
      <c r="M30" s="632"/>
      <c r="N30" s="632"/>
      <c r="O30" s="543" t="s">
        <v>446</v>
      </c>
      <c r="P30" s="544"/>
      <c r="Q30" s="545"/>
      <c r="R30" s="564"/>
      <c r="S30" s="565"/>
      <c r="T30" s="566"/>
    </row>
    <row r="31" spans="2:20" ht="409.6" customHeight="1" x14ac:dyDescent="0.2">
      <c r="B31" s="586" t="s">
        <v>22</v>
      </c>
      <c r="C31" s="587"/>
      <c r="D31" s="587"/>
      <c r="E31" s="588"/>
      <c r="F31" s="546" t="s">
        <v>354</v>
      </c>
      <c r="G31" s="547"/>
      <c r="H31" s="547"/>
      <c r="I31" s="548"/>
      <c r="J31" s="546" t="s">
        <v>447</v>
      </c>
      <c r="K31" s="547"/>
      <c r="L31" s="547"/>
      <c r="M31" s="547"/>
      <c r="N31" s="548"/>
      <c r="O31" s="546" t="s">
        <v>120</v>
      </c>
      <c r="P31" s="547"/>
      <c r="Q31" s="548"/>
      <c r="R31" s="546" t="s">
        <v>119</v>
      </c>
      <c r="S31" s="547"/>
      <c r="T31" s="548"/>
    </row>
    <row r="32" spans="2:20" ht="15" customHeight="1" x14ac:dyDescent="0.2">
      <c r="B32" s="592"/>
      <c r="C32" s="593"/>
      <c r="D32" s="593"/>
      <c r="E32" s="594"/>
      <c r="F32" s="549"/>
      <c r="G32" s="550"/>
      <c r="H32" s="550"/>
      <c r="I32" s="551"/>
      <c r="J32" s="549"/>
      <c r="K32" s="550"/>
      <c r="L32" s="550"/>
      <c r="M32" s="550"/>
      <c r="N32" s="551"/>
      <c r="O32" s="549"/>
      <c r="P32" s="550"/>
      <c r="Q32" s="551"/>
      <c r="R32" s="549"/>
      <c r="S32" s="550"/>
      <c r="T32" s="551"/>
    </row>
    <row r="33" spans="2:20" ht="409.15" customHeight="1" x14ac:dyDescent="0.2">
      <c r="B33" s="586" t="s">
        <v>23</v>
      </c>
      <c r="C33" s="587"/>
      <c r="D33" s="587"/>
      <c r="E33" s="588"/>
      <c r="F33" s="546" t="s">
        <v>448</v>
      </c>
      <c r="G33" s="547"/>
      <c r="H33" s="547"/>
      <c r="I33" s="548"/>
      <c r="J33" s="481" t="s">
        <v>449</v>
      </c>
      <c r="K33" s="482"/>
      <c r="L33" s="482"/>
      <c r="M33" s="482"/>
      <c r="N33" s="483"/>
      <c r="O33" s="481" t="s">
        <v>450</v>
      </c>
      <c r="P33" s="482"/>
      <c r="Q33" s="483"/>
      <c r="R33" s="481"/>
      <c r="S33" s="482"/>
      <c r="T33" s="483"/>
    </row>
    <row r="34" spans="2:20" ht="79.900000000000006" customHeight="1" x14ac:dyDescent="0.2">
      <c r="B34" s="592"/>
      <c r="C34" s="593"/>
      <c r="D34" s="593"/>
      <c r="E34" s="594"/>
      <c r="F34" s="549"/>
      <c r="G34" s="550"/>
      <c r="H34" s="550"/>
      <c r="I34" s="551"/>
      <c r="J34" s="487"/>
      <c r="K34" s="488"/>
      <c r="L34" s="488"/>
      <c r="M34" s="488"/>
      <c r="N34" s="489"/>
      <c r="O34" s="487"/>
      <c r="P34" s="488"/>
      <c r="Q34" s="489"/>
      <c r="R34" s="487"/>
      <c r="S34" s="488"/>
      <c r="T34" s="489"/>
    </row>
    <row r="35" spans="2:20" ht="409.6" customHeight="1" x14ac:dyDescent="0.2">
      <c r="B35" s="433" t="s">
        <v>24</v>
      </c>
      <c r="C35" s="433"/>
      <c r="D35" s="433"/>
      <c r="E35" s="433"/>
      <c r="F35" s="528"/>
      <c r="G35" s="528"/>
      <c r="H35" s="528"/>
      <c r="I35" s="528"/>
      <c r="J35" s="528" t="s">
        <v>121</v>
      </c>
      <c r="K35" s="528"/>
      <c r="L35" s="528"/>
      <c r="M35" s="528"/>
      <c r="N35" s="528"/>
      <c r="O35" s="633" t="s">
        <v>486</v>
      </c>
      <c r="P35" s="633"/>
      <c r="Q35" s="633"/>
      <c r="R35" s="528"/>
      <c r="S35" s="528"/>
      <c r="T35" s="528"/>
    </row>
    <row r="36" spans="2:20" ht="206.45" customHeight="1" x14ac:dyDescent="0.2">
      <c r="B36" s="433"/>
      <c r="C36" s="433"/>
      <c r="D36" s="433"/>
      <c r="E36" s="433"/>
      <c r="F36" s="528"/>
      <c r="G36" s="528"/>
      <c r="H36" s="528"/>
      <c r="I36" s="528"/>
      <c r="J36" s="528"/>
      <c r="K36" s="528"/>
      <c r="L36" s="528"/>
      <c r="M36" s="528"/>
      <c r="N36" s="528"/>
      <c r="O36" s="633"/>
      <c r="P36" s="633"/>
      <c r="Q36" s="633"/>
      <c r="R36" s="528"/>
      <c r="S36" s="528"/>
      <c r="T36" s="528"/>
    </row>
    <row r="37" spans="2:20" ht="30" customHeight="1" x14ac:dyDescent="0.2">
      <c r="B37" s="629" t="s">
        <v>108</v>
      </c>
      <c r="C37" s="630"/>
      <c r="D37" s="630"/>
      <c r="E37" s="630"/>
      <c r="F37" s="630"/>
      <c r="G37" s="630"/>
      <c r="H37" s="630"/>
      <c r="I37" s="630"/>
      <c r="J37" s="630"/>
      <c r="K37" s="630"/>
      <c r="L37" s="630"/>
      <c r="M37" s="630"/>
      <c r="N37" s="630"/>
      <c r="O37" s="630"/>
      <c r="P37" s="630"/>
      <c r="Q37" s="630"/>
      <c r="R37" s="630"/>
      <c r="S37" s="630"/>
      <c r="T37" s="631"/>
    </row>
    <row r="38" spans="2:20" ht="22.5" customHeight="1" x14ac:dyDescent="0.2">
      <c r="B38" s="381" t="s">
        <v>25</v>
      </c>
      <c r="C38" s="563"/>
      <c r="D38" s="563"/>
      <c r="E38" s="563"/>
      <c r="F38" s="563"/>
      <c r="G38" s="563"/>
      <c r="H38" s="382"/>
      <c r="I38" s="381" t="s">
        <v>26</v>
      </c>
      <c r="J38" s="382"/>
      <c r="K38" s="381" t="s">
        <v>4</v>
      </c>
      <c r="L38" s="382"/>
      <c r="M38" s="381" t="s">
        <v>27</v>
      </c>
      <c r="N38" s="563"/>
      <c r="O38" s="563"/>
      <c r="P38" s="563"/>
      <c r="Q38" s="563"/>
      <c r="R38" s="382"/>
      <c r="S38" s="381" t="s">
        <v>4</v>
      </c>
      <c r="T38" s="382"/>
    </row>
    <row r="39" spans="2:20" ht="57" customHeight="1" x14ac:dyDescent="0.2">
      <c r="B39" s="454" t="s">
        <v>1420</v>
      </c>
      <c r="C39" s="455"/>
      <c r="D39" s="455"/>
      <c r="E39" s="455"/>
      <c r="F39" s="455"/>
      <c r="G39" s="455"/>
      <c r="H39" s="456"/>
      <c r="I39" s="526" t="s">
        <v>1421</v>
      </c>
      <c r="J39" s="526"/>
      <c r="K39" s="527">
        <v>44249</v>
      </c>
      <c r="L39" s="527"/>
      <c r="M39" s="528" t="s">
        <v>726</v>
      </c>
      <c r="N39" s="528"/>
      <c r="O39" s="528"/>
      <c r="P39" s="528"/>
      <c r="Q39" s="528"/>
      <c r="R39" s="528"/>
      <c r="S39" s="287"/>
      <c r="T39" s="288"/>
    </row>
    <row r="40" spans="2:20" ht="47.25" customHeight="1" x14ac:dyDescent="0.2">
      <c r="B40" s="454" t="s">
        <v>1422</v>
      </c>
      <c r="C40" s="455"/>
      <c r="D40" s="455"/>
      <c r="E40" s="455"/>
      <c r="F40" s="455"/>
      <c r="G40" s="455"/>
      <c r="H40" s="456"/>
      <c r="I40" s="526" t="s">
        <v>1423</v>
      </c>
      <c r="J40" s="526"/>
      <c r="K40" s="527">
        <v>44249</v>
      </c>
      <c r="L40" s="527"/>
      <c r="M40" s="528" t="s">
        <v>726</v>
      </c>
      <c r="N40" s="528"/>
      <c r="O40" s="528"/>
      <c r="P40" s="528"/>
      <c r="Q40" s="528"/>
      <c r="R40" s="528"/>
      <c r="S40" s="314"/>
      <c r="T40" s="315"/>
    </row>
    <row r="41" spans="2:20" ht="47.25" customHeight="1" x14ac:dyDescent="0.2">
      <c r="B41" s="454" t="s">
        <v>1424</v>
      </c>
      <c r="C41" s="455"/>
      <c r="D41" s="455"/>
      <c r="E41" s="455"/>
      <c r="F41" s="455"/>
      <c r="G41" s="455"/>
      <c r="H41" s="456"/>
      <c r="I41" s="526" t="s">
        <v>1425</v>
      </c>
      <c r="J41" s="526"/>
      <c r="K41" s="527">
        <v>44249</v>
      </c>
      <c r="L41" s="527"/>
      <c r="M41" s="528" t="s">
        <v>726</v>
      </c>
      <c r="N41" s="528"/>
      <c r="O41" s="528"/>
      <c r="P41" s="528"/>
      <c r="Q41" s="528"/>
      <c r="R41" s="528"/>
      <c r="S41" s="354"/>
      <c r="T41" s="353"/>
    </row>
    <row r="42" spans="2:20" ht="47.25" customHeight="1" x14ac:dyDescent="0.2">
      <c r="B42" s="454" t="s">
        <v>1426</v>
      </c>
      <c r="C42" s="455"/>
      <c r="D42" s="455"/>
      <c r="E42" s="455"/>
      <c r="F42" s="455"/>
      <c r="G42" s="455"/>
      <c r="H42" s="456"/>
      <c r="I42" s="526" t="s">
        <v>1429</v>
      </c>
      <c r="J42" s="526"/>
      <c r="K42" s="527">
        <v>44249</v>
      </c>
      <c r="L42" s="527"/>
      <c r="M42" s="528" t="s">
        <v>726</v>
      </c>
      <c r="N42" s="528"/>
      <c r="O42" s="528"/>
      <c r="P42" s="528"/>
      <c r="Q42" s="528"/>
      <c r="R42" s="528"/>
      <c r="S42" s="354"/>
      <c r="T42" s="353"/>
    </row>
    <row r="43" spans="2:20" ht="47.25" customHeight="1" x14ac:dyDescent="0.2">
      <c r="B43" s="454" t="s">
        <v>1427</v>
      </c>
      <c r="C43" s="455"/>
      <c r="D43" s="455"/>
      <c r="E43" s="455"/>
      <c r="F43" s="455"/>
      <c r="G43" s="455"/>
      <c r="H43" s="456"/>
      <c r="I43" s="526" t="s">
        <v>1428</v>
      </c>
      <c r="J43" s="526"/>
      <c r="K43" s="527">
        <v>44249</v>
      </c>
      <c r="L43" s="527"/>
      <c r="M43" s="528" t="s">
        <v>726</v>
      </c>
      <c r="N43" s="528"/>
      <c r="O43" s="528"/>
      <c r="P43" s="528"/>
      <c r="Q43" s="528"/>
      <c r="R43" s="528"/>
      <c r="S43" s="354"/>
      <c r="T43" s="353"/>
    </row>
    <row r="44" spans="2:20" ht="47.25" customHeight="1" x14ac:dyDescent="0.2">
      <c r="B44" s="454" t="s">
        <v>1169</v>
      </c>
      <c r="C44" s="455"/>
      <c r="D44" s="455"/>
      <c r="E44" s="455"/>
      <c r="F44" s="455"/>
      <c r="G44" s="455"/>
      <c r="H44" s="456"/>
      <c r="I44" s="526" t="s">
        <v>1170</v>
      </c>
      <c r="J44" s="526"/>
      <c r="K44" s="527">
        <v>44245</v>
      </c>
      <c r="L44" s="527"/>
      <c r="M44" s="528" t="s">
        <v>726</v>
      </c>
      <c r="N44" s="528"/>
      <c r="O44" s="528"/>
      <c r="P44" s="528"/>
      <c r="Q44" s="528"/>
      <c r="R44" s="528"/>
      <c r="S44" s="354"/>
      <c r="T44" s="353"/>
    </row>
    <row r="45" spans="2:20" ht="14.25" customHeight="1" x14ac:dyDescent="0.2">
      <c r="B45" s="42"/>
      <c r="C45" s="43"/>
      <c r="D45" s="43"/>
      <c r="E45" s="43"/>
      <c r="F45" s="43"/>
      <c r="G45" s="43"/>
      <c r="H45" s="43"/>
      <c r="I45" s="43"/>
      <c r="J45" s="43"/>
      <c r="K45" s="43"/>
      <c r="L45" s="43"/>
      <c r="M45" s="43"/>
      <c r="N45" s="43"/>
      <c r="O45" s="43"/>
      <c r="P45" s="43"/>
      <c r="Q45" s="43"/>
      <c r="R45" s="43"/>
      <c r="S45" s="43"/>
      <c r="T45" s="44"/>
    </row>
    <row r="46" spans="2:20" ht="22.5" customHeight="1" x14ac:dyDescent="0.2">
      <c r="B46" s="534" t="s">
        <v>28</v>
      </c>
      <c r="C46" s="534"/>
      <c r="D46" s="534"/>
      <c r="E46" s="534"/>
      <c r="F46" s="534"/>
      <c r="G46" s="534"/>
      <c r="H46" s="534"/>
      <c r="I46" s="534"/>
      <c r="J46" s="534"/>
      <c r="K46" s="534"/>
      <c r="L46" s="534"/>
      <c r="M46" s="534"/>
      <c r="N46" s="534"/>
      <c r="O46" s="534"/>
      <c r="P46" s="534"/>
      <c r="Q46" s="534"/>
      <c r="R46" s="534"/>
      <c r="S46" s="534"/>
      <c r="T46" s="534"/>
    </row>
    <row r="47" spans="2:20" customFormat="1" ht="25.5" customHeight="1" x14ac:dyDescent="0.25">
      <c r="B47" s="434" t="s">
        <v>123</v>
      </c>
      <c r="C47" s="535"/>
      <c r="D47" s="535"/>
      <c r="E47" s="535"/>
      <c r="F47" s="535"/>
      <c r="G47" s="535"/>
      <c r="H47" s="535"/>
      <c r="I47" s="535"/>
      <c r="J47" s="535"/>
      <c r="K47" s="535"/>
      <c r="L47" s="535"/>
      <c r="M47" s="535"/>
      <c r="N47" s="535"/>
      <c r="O47" s="535"/>
      <c r="P47" s="535"/>
      <c r="Q47" s="535"/>
      <c r="R47" s="535"/>
      <c r="S47" s="535"/>
      <c r="T47" s="435"/>
    </row>
    <row r="48" spans="2:20" customFormat="1" ht="34.5" customHeight="1" x14ac:dyDescent="0.25">
      <c r="B48" s="52" t="s">
        <v>29</v>
      </c>
      <c r="C48" s="441" t="s">
        <v>124</v>
      </c>
      <c r="D48" s="443"/>
      <c r="E48" s="441" t="s">
        <v>355</v>
      </c>
      <c r="F48" s="442"/>
      <c r="G48" s="442"/>
      <c r="H48" s="443"/>
      <c r="I48" s="441" t="s">
        <v>30</v>
      </c>
      <c r="J48" s="442"/>
      <c r="K48" s="442"/>
      <c r="L48" s="442"/>
      <c r="M48" s="442"/>
      <c r="N48" s="442"/>
      <c r="O48" s="442"/>
      <c r="P48" s="442"/>
      <c r="Q48" s="442"/>
      <c r="R48" s="443"/>
      <c r="S48" s="441" t="s">
        <v>31</v>
      </c>
      <c r="T48" s="443"/>
    </row>
    <row r="49" spans="2:23" customFormat="1" ht="48" customHeight="1" x14ac:dyDescent="0.25">
      <c r="B49" s="465" t="s">
        <v>32</v>
      </c>
      <c r="C49" s="465" t="s">
        <v>122</v>
      </c>
      <c r="D49" s="465"/>
      <c r="E49" s="531" t="s">
        <v>356</v>
      </c>
      <c r="F49" s="531"/>
      <c r="G49" s="531"/>
      <c r="H49" s="531"/>
      <c r="I49" s="523" t="s">
        <v>563</v>
      </c>
      <c r="J49" s="523"/>
      <c r="K49" s="523"/>
      <c r="L49" s="523"/>
      <c r="M49" s="523"/>
      <c r="N49" s="523"/>
      <c r="O49" s="523"/>
      <c r="P49" s="523"/>
      <c r="Q49" s="523"/>
      <c r="R49" s="523"/>
      <c r="S49" s="522">
        <v>1</v>
      </c>
      <c r="T49" s="525"/>
    </row>
    <row r="50" spans="2:23" customFormat="1" ht="58.9" customHeight="1" x14ac:dyDescent="0.25">
      <c r="B50" s="465"/>
      <c r="C50" s="465"/>
      <c r="D50" s="465"/>
      <c r="E50" s="531" t="s">
        <v>357</v>
      </c>
      <c r="F50" s="531"/>
      <c r="G50" s="531"/>
      <c r="H50" s="531"/>
      <c r="I50" s="523" t="s">
        <v>564</v>
      </c>
      <c r="J50" s="523"/>
      <c r="K50" s="523"/>
      <c r="L50" s="523"/>
      <c r="M50" s="523"/>
      <c r="N50" s="523"/>
      <c r="O50" s="523"/>
      <c r="P50" s="523"/>
      <c r="Q50" s="523"/>
      <c r="R50" s="523"/>
      <c r="S50" s="522">
        <v>1</v>
      </c>
      <c r="T50" s="525"/>
    </row>
    <row r="51" spans="2:23" customFormat="1" ht="66" customHeight="1" x14ac:dyDescent="0.25">
      <c r="B51" s="465"/>
      <c r="C51" s="465"/>
      <c r="D51" s="465"/>
      <c r="E51" s="531" t="s">
        <v>358</v>
      </c>
      <c r="F51" s="531"/>
      <c r="G51" s="531"/>
      <c r="H51" s="531"/>
      <c r="I51" s="523" t="s">
        <v>412</v>
      </c>
      <c r="J51" s="523"/>
      <c r="K51" s="523"/>
      <c r="L51" s="523"/>
      <c r="M51" s="523"/>
      <c r="N51" s="523"/>
      <c r="O51" s="523"/>
      <c r="P51" s="523"/>
      <c r="Q51" s="523"/>
      <c r="R51" s="523"/>
      <c r="S51" s="522">
        <v>1</v>
      </c>
      <c r="T51" s="525"/>
    </row>
    <row r="52" spans="2:23" s="72" customFormat="1" ht="63.6" customHeight="1" x14ac:dyDescent="0.25">
      <c r="B52" s="465"/>
      <c r="C52" s="465"/>
      <c r="D52" s="465"/>
      <c r="E52" s="531" t="s">
        <v>969</v>
      </c>
      <c r="F52" s="531"/>
      <c r="G52" s="531"/>
      <c r="H52" s="531"/>
      <c r="I52" s="523" t="s">
        <v>565</v>
      </c>
      <c r="J52" s="523"/>
      <c r="K52" s="523"/>
      <c r="L52" s="523"/>
      <c r="M52" s="523"/>
      <c r="N52" s="523"/>
      <c r="O52" s="523"/>
      <c r="P52" s="523"/>
      <c r="Q52" s="523"/>
      <c r="R52" s="523"/>
      <c r="S52" s="522">
        <v>1</v>
      </c>
      <c r="T52" s="525"/>
    </row>
    <row r="53" spans="2:23" customFormat="1" ht="36.6" customHeight="1" x14ac:dyDescent="0.25">
      <c r="B53" s="465"/>
      <c r="C53" s="465"/>
      <c r="D53" s="465"/>
      <c r="E53" s="531" t="s">
        <v>359</v>
      </c>
      <c r="F53" s="531"/>
      <c r="G53" s="531"/>
      <c r="H53" s="531"/>
      <c r="I53" s="523" t="s">
        <v>279</v>
      </c>
      <c r="J53" s="523"/>
      <c r="K53" s="523"/>
      <c r="L53" s="523"/>
      <c r="M53" s="523"/>
      <c r="N53" s="523"/>
      <c r="O53" s="523"/>
      <c r="P53" s="523"/>
      <c r="Q53" s="523"/>
      <c r="R53" s="523"/>
      <c r="S53" s="522">
        <v>1</v>
      </c>
      <c r="T53" s="522"/>
    </row>
    <row r="54" spans="2:23" customFormat="1" ht="73.900000000000006" customHeight="1" x14ac:dyDescent="0.25">
      <c r="B54" s="465"/>
      <c r="C54" s="465"/>
      <c r="D54" s="465"/>
      <c r="E54" s="531" t="s">
        <v>360</v>
      </c>
      <c r="F54" s="531"/>
      <c r="G54" s="531"/>
      <c r="H54" s="531"/>
      <c r="I54" s="523" t="s">
        <v>566</v>
      </c>
      <c r="J54" s="523"/>
      <c r="K54" s="523"/>
      <c r="L54" s="523"/>
      <c r="M54" s="523"/>
      <c r="N54" s="523"/>
      <c r="O54" s="523"/>
      <c r="P54" s="523"/>
      <c r="Q54" s="523"/>
      <c r="R54" s="523"/>
      <c r="S54" s="522">
        <v>1</v>
      </c>
      <c r="T54" s="525"/>
    </row>
    <row r="55" spans="2:23" customFormat="1" ht="76.150000000000006" customHeight="1" x14ac:dyDescent="0.25">
      <c r="B55" s="465"/>
      <c r="C55" s="465"/>
      <c r="D55" s="465"/>
      <c r="E55" s="531" t="s">
        <v>361</v>
      </c>
      <c r="F55" s="531"/>
      <c r="G55" s="531"/>
      <c r="H55" s="531"/>
      <c r="I55" s="523" t="s">
        <v>567</v>
      </c>
      <c r="J55" s="523"/>
      <c r="K55" s="523"/>
      <c r="L55" s="523"/>
      <c r="M55" s="523"/>
      <c r="N55" s="523"/>
      <c r="O55" s="523"/>
      <c r="P55" s="523"/>
      <c r="Q55" s="523"/>
      <c r="R55" s="523"/>
      <c r="S55" s="522">
        <v>1</v>
      </c>
      <c r="T55" s="525"/>
    </row>
    <row r="56" spans="2:23" customFormat="1" ht="101.45" customHeight="1" x14ac:dyDescent="0.25">
      <c r="B56" s="465"/>
      <c r="C56" s="465"/>
      <c r="D56" s="465"/>
      <c r="E56" s="531" t="s">
        <v>362</v>
      </c>
      <c r="F56" s="531"/>
      <c r="G56" s="531"/>
      <c r="H56" s="531"/>
      <c r="I56" s="523" t="s">
        <v>568</v>
      </c>
      <c r="J56" s="523"/>
      <c r="K56" s="523"/>
      <c r="L56" s="523"/>
      <c r="M56" s="523"/>
      <c r="N56" s="523"/>
      <c r="O56" s="523"/>
      <c r="P56" s="523"/>
      <c r="Q56" s="523"/>
      <c r="R56" s="523"/>
      <c r="S56" s="522">
        <v>1</v>
      </c>
      <c r="T56" s="525"/>
    </row>
    <row r="57" spans="2:23" customFormat="1" ht="44.45" customHeight="1" x14ac:dyDescent="0.25">
      <c r="B57" s="465"/>
      <c r="C57" s="465"/>
      <c r="D57" s="465"/>
      <c r="E57" s="531" t="s">
        <v>363</v>
      </c>
      <c r="F57" s="531"/>
      <c r="G57" s="531"/>
      <c r="H57" s="531"/>
      <c r="I57" s="523" t="s">
        <v>109</v>
      </c>
      <c r="J57" s="523"/>
      <c r="K57" s="523"/>
      <c r="L57" s="523"/>
      <c r="M57" s="523"/>
      <c r="N57" s="523"/>
      <c r="O57" s="523"/>
      <c r="P57" s="523"/>
      <c r="Q57" s="523"/>
      <c r="R57" s="523"/>
      <c r="S57" s="522">
        <v>1</v>
      </c>
      <c r="T57" s="522"/>
    </row>
    <row r="58" spans="2:23" customFormat="1" ht="55.9" customHeight="1" x14ac:dyDescent="0.25">
      <c r="B58" s="465"/>
      <c r="C58" s="465"/>
      <c r="D58" s="465"/>
      <c r="E58" s="531" t="s">
        <v>364</v>
      </c>
      <c r="F58" s="531"/>
      <c r="G58" s="531"/>
      <c r="H58" s="531"/>
      <c r="I58" s="523" t="s">
        <v>295</v>
      </c>
      <c r="J58" s="523"/>
      <c r="K58" s="523"/>
      <c r="L58" s="523"/>
      <c r="M58" s="523"/>
      <c r="N58" s="523"/>
      <c r="O58" s="523"/>
      <c r="P58" s="523"/>
      <c r="Q58" s="523"/>
      <c r="R58" s="523"/>
      <c r="S58" s="522">
        <v>1</v>
      </c>
      <c r="T58" s="525"/>
    </row>
    <row r="59" spans="2:23" customFormat="1" ht="79.900000000000006" customHeight="1" x14ac:dyDescent="0.25">
      <c r="B59" s="520"/>
      <c r="C59" s="520"/>
      <c r="D59" s="520"/>
      <c r="E59" s="524" t="s">
        <v>365</v>
      </c>
      <c r="F59" s="524"/>
      <c r="G59" s="524"/>
      <c r="H59" s="524"/>
      <c r="I59" s="538" t="s">
        <v>569</v>
      </c>
      <c r="J59" s="538"/>
      <c r="K59" s="538"/>
      <c r="L59" s="538"/>
      <c r="M59" s="538"/>
      <c r="N59" s="538"/>
      <c r="O59" s="538"/>
      <c r="P59" s="538"/>
      <c r="Q59" s="538"/>
      <c r="R59" s="538"/>
      <c r="S59" s="529">
        <v>1</v>
      </c>
      <c r="T59" s="530"/>
    </row>
    <row r="60" spans="2:23" customFormat="1" ht="80.45" customHeight="1" x14ac:dyDescent="0.25">
      <c r="B60" s="532">
        <v>2.1</v>
      </c>
      <c r="C60" s="465" t="s">
        <v>34</v>
      </c>
      <c r="D60" s="465"/>
      <c r="E60" s="531" t="s">
        <v>356</v>
      </c>
      <c r="F60" s="531"/>
      <c r="G60" s="531"/>
      <c r="H60" s="531"/>
      <c r="I60" s="523" t="s">
        <v>1132</v>
      </c>
      <c r="J60" s="523"/>
      <c r="K60" s="523"/>
      <c r="L60" s="523"/>
      <c r="M60" s="523"/>
      <c r="N60" s="523"/>
      <c r="O60" s="523"/>
      <c r="P60" s="523"/>
      <c r="Q60" s="523"/>
      <c r="R60" s="523"/>
      <c r="S60" s="522">
        <v>1</v>
      </c>
      <c r="T60" s="525"/>
    </row>
    <row r="61" spans="2:23" customFormat="1" ht="111" customHeight="1" x14ac:dyDescent="0.25">
      <c r="B61" s="532"/>
      <c r="C61" s="465"/>
      <c r="D61" s="465"/>
      <c r="E61" s="531" t="s">
        <v>570</v>
      </c>
      <c r="F61" s="531"/>
      <c r="G61" s="531"/>
      <c r="H61" s="531"/>
      <c r="I61" s="523" t="s">
        <v>413</v>
      </c>
      <c r="J61" s="523"/>
      <c r="K61" s="523"/>
      <c r="L61" s="523"/>
      <c r="M61" s="523"/>
      <c r="N61" s="523"/>
      <c r="O61" s="523"/>
      <c r="P61" s="523"/>
      <c r="Q61" s="523"/>
      <c r="R61" s="523"/>
      <c r="S61" s="522" t="s">
        <v>571</v>
      </c>
      <c r="T61" s="525"/>
      <c r="W61" s="80"/>
    </row>
    <row r="62" spans="2:23" customFormat="1" ht="106.9" customHeight="1" x14ac:dyDescent="0.25">
      <c r="B62" s="532"/>
      <c r="C62" s="465"/>
      <c r="D62" s="465"/>
      <c r="E62" s="531" t="s">
        <v>366</v>
      </c>
      <c r="F62" s="531"/>
      <c r="G62" s="531"/>
      <c r="H62" s="531"/>
      <c r="I62" s="523" t="s">
        <v>970</v>
      </c>
      <c r="J62" s="523"/>
      <c r="K62" s="523"/>
      <c r="L62" s="523"/>
      <c r="M62" s="523"/>
      <c r="N62" s="523"/>
      <c r="O62" s="523"/>
      <c r="P62" s="523"/>
      <c r="Q62" s="523"/>
      <c r="R62" s="523"/>
      <c r="S62" s="522">
        <v>1</v>
      </c>
      <c r="T62" s="522"/>
    </row>
    <row r="63" spans="2:23" customFormat="1" ht="67.5" customHeight="1" x14ac:dyDescent="0.25">
      <c r="B63" s="532"/>
      <c r="C63" s="465"/>
      <c r="D63" s="465"/>
      <c r="E63" s="531" t="s">
        <v>367</v>
      </c>
      <c r="F63" s="531"/>
      <c r="G63" s="531"/>
      <c r="H63" s="531"/>
      <c r="I63" s="523" t="s">
        <v>971</v>
      </c>
      <c r="J63" s="523"/>
      <c r="K63" s="523"/>
      <c r="L63" s="523"/>
      <c r="M63" s="523"/>
      <c r="N63" s="523"/>
      <c r="O63" s="523"/>
      <c r="P63" s="523"/>
      <c r="Q63" s="523"/>
      <c r="R63" s="523"/>
      <c r="S63" s="522">
        <v>1</v>
      </c>
      <c r="T63" s="522"/>
    </row>
    <row r="64" spans="2:23" customFormat="1" ht="62.45" customHeight="1" x14ac:dyDescent="0.25">
      <c r="B64" s="532"/>
      <c r="C64" s="465"/>
      <c r="D64" s="465"/>
      <c r="E64" s="531" t="s">
        <v>368</v>
      </c>
      <c r="F64" s="531"/>
      <c r="G64" s="531"/>
      <c r="H64" s="531"/>
      <c r="I64" s="523" t="s">
        <v>972</v>
      </c>
      <c r="J64" s="523"/>
      <c r="K64" s="523"/>
      <c r="L64" s="523"/>
      <c r="M64" s="523"/>
      <c r="N64" s="523"/>
      <c r="O64" s="523"/>
      <c r="P64" s="523"/>
      <c r="Q64" s="523"/>
      <c r="R64" s="523"/>
      <c r="S64" s="522">
        <v>1</v>
      </c>
      <c r="T64" s="522"/>
    </row>
    <row r="65" spans="2:20" customFormat="1" ht="112.9" customHeight="1" x14ac:dyDescent="0.25">
      <c r="B65" s="532"/>
      <c r="C65" s="465"/>
      <c r="D65" s="465"/>
      <c r="E65" s="531" t="s">
        <v>369</v>
      </c>
      <c r="F65" s="531"/>
      <c r="G65" s="531"/>
      <c r="H65" s="531"/>
      <c r="I65" s="523" t="s">
        <v>973</v>
      </c>
      <c r="J65" s="523"/>
      <c r="K65" s="523"/>
      <c r="L65" s="523"/>
      <c r="M65" s="523"/>
      <c r="N65" s="523"/>
      <c r="O65" s="523"/>
      <c r="P65" s="523"/>
      <c r="Q65" s="523"/>
      <c r="R65" s="523"/>
      <c r="S65" s="522">
        <v>1</v>
      </c>
      <c r="T65" s="522"/>
    </row>
    <row r="66" spans="2:20" customFormat="1" ht="39.6" customHeight="1" x14ac:dyDescent="0.25">
      <c r="B66" s="532"/>
      <c r="C66" s="465"/>
      <c r="D66" s="465"/>
      <c r="E66" s="531" t="s">
        <v>370</v>
      </c>
      <c r="F66" s="531"/>
      <c r="G66" s="531"/>
      <c r="H66" s="531"/>
      <c r="I66" s="523" t="s">
        <v>336</v>
      </c>
      <c r="J66" s="523"/>
      <c r="K66" s="523"/>
      <c r="L66" s="523"/>
      <c r="M66" s="523"/>
      <c r="N66" s="523"/>
      <c r="O66" s="523"/>
      <c r="P66" s="523"/>
      <c r="Q66" s="523"/>
      <c r="R66" s="523"/>
      <c r="S66" s="522">
        <v>1</v>
      </c>
      <c r="T66" s="522"/>
    </row>
    <row r="67" spans="2:20" customFormat="1" ht="58.15" customHeight="1" x14ac:dyDescent="0.25">
      <c r="B67" s="532"/>
      <c r="C67" s="465"/>
      <c r="D67" s="465"/>
      <c r="E67" s="531" t="s">
        <v>371</v>
      </c>
      <c r="F67" s="531"/>
      <c r="G67" s="531"/>
      <c r="H67" s="531"/>
      <c r="I67" s="523" t="s">
        <v>974</v>
      </c>
      <c r="J67" s="523"/>
      <c r="K67" s="523"/>
      <c r="L67" s="523"/>
      <c r="M67" s="523"/>
      <c r="N67" s="523"/>
      <c r="O67" s="523"/>
      <c r="P67" s="523"/>
      <c r="Q67" s="523"/>
      <c r="R67" s="523"/>
      <c r="S67" s="522">
        <v>1</v>
      </c>
      <c r="T67" s="522"/>
    </row>
    <row r="68" spans="2:20" customFormat="1" ht="69.599999999999994" customHeight="1" x14ac:dyDescent="0.25">
      <c r="B68" s="532"/>
      <c r="C68" s="465"/>
      <c r="D68" s="465"/>
      <c r="E68" s="531" t="s">
        <v>372</v>
      </c>
      <c r="F68" s="531"/>
      <c r="G68" s="531"/>
      <c r="H68" s="531"/>
      <c r="I68" s="523" t="s">
        <v>975</v>
      </c>
      <c r="J68" s="523"/>
      <c r="K68" s="523"/>
      <c r="L68" s="523"/>
      <c r="M68" s="523"/>
      <c r="N68" s="523"/>
      <c r="O68" s="523"/>
      <c r="P68" s="523"/>
      <c r="Q68" s="523"/>
      <c r="R68" s="523"/>
      <c r="S68" s="522">
        <v>1</v>
      </c>
      <c r="T68" s="525"/>
    </row>
    <row r="69" spans="2:20" customFormat="1" ht="50.25" customHeight="1" x14ac:dyDescent="0.25">
      <c r="B69" s="532"/>
      <c r="C69" s="465"/>
      <c r="D69" s="465"/>
      <c r="E69" s="531" t="s">
        <v>373</v>
      </c>
      <c r="F69" s="531"/>
      <c r="G69" s="531"/>
      <c r="H69" s="531"/>
      <c r="I69" s="523" t="s">
        <v>562</v>
      </c>
      <c r="J69" s="523"/>
      <c r="K69" s="523"/>
      <c r="L69" s="523"/>
      <c r="M69" s="523"/>
      <c r="N69" s="523"/>
      <c r="O69" s="523"/>
      <c r="P69" s="523"/>
      <c r="Q69" s="523"/>
      <c r="R69" s="523"/>
      <c r="S69" s="522">
        <v>1</v>
      </c>
      <c r="T69" s="525"/>
    </row>
    <row r="70" spans="2:20" customFormat="1" ht="55.15" customHeight="1" x14ac:dyDescent="0.25">
      <c r="B70" s="533"/>
      <c r="C70" s="520"/>
      <c r="D70" s="520"/>
      <c r="E70" s="524" t="s">
        <v>374</v>
      </c>
      <c r="F70" s="524"/>
      <c r="G70" s="524"/>
      <c r="H70" s="524"/>
      <c r="I70" s="538" t="s">
        <v>572</v>
      </c>
      <c r="J70" s="538"/>
      <c r="K70" s="538"/>
      <c r="L70" s="538"/>
      <c r="M70" s="538"/>
      <c r="N70" s="538"/>
      <c r="O70" s="538"/>
      <c r="P70" s="538"/>
      <c r="Q70" s="538"/>
      <c r="R70" s="538"/>
      <c r="S70" s="529">
        <v>1</v>
      </c>
      <c r="T70" s="530"/>
    </row>
    <row r="71" spans="2:20" customFormat="1" ht="75.599999999999994" customHeight="1" x14ac:dyDescent="0.25">
      <c r="B71" s="465" t="s">
        <v>846</v>
      </c>
      <c r="C71" s="465" t="s">
        <v>280</v>
      </c>
      <c r="D71" s="465"/>
      <c r="E71" s="531" t="s">
        <v>573</v>
      </c>
      <c r="F71" s="531"/>
      <c r="G71" s="531"/>
      <c r="H71" s="531"/>
      <c r="I71" s="523" t="s">
        <v>281</v>
      </c>
      <c r="J71" s="523"/>
      <c r="K71" s="523"/>
      <c r="L71" s="523"/>
      <c r="M71" s="523"/>
      <c r="N71" s="523"/>
      <c r="O71" s="523"/>
      <c r="P71" s="523"/>
      <c r="Q71" s="523"/>
      <c r="R71" s="523"/>
      <c r="S71" s="522">
        <v>1</v>
      </c>
      <c r="T71" s="522"/>
    </row>
    <row r="72" spans="2:20" customFormat="1" ht="246" customHeight="1" x14ac:dyDescent="0.25">
      <c r="B72" s="465"/>
      <c r="C72" s="465"/>
      <c r="D72" s="465"/>
      <c r="E72" s="531" t="s">
        <v>574</v>
      </c>
      <c r="F72" s="531"/>
      <c r="G72" s="531"/>
      <c r="H72" s="531"/>
      <c r="I72" s="752" t="s">
        <v>967</v>
      </c>
      <c r="J72" s="752"/>
      <c r="K72" s="752"/>
      <c r="L72" s="752"/>
      <c r="M72" s="752"/>
      <c r="N72" s="752"/>
      <c r="O72" s="752"/>
      <c r="P72" s="752"/>
      <c r="Q72" s="752"/>
      <c r="R72" s="752"/>
      <c r="S72" s="522">
        <v>1</v>
      </c>
      <c r="T72" s="522"/>
    </row>
    <row r="73" spans="2:20" customFormat="1" ht="243.6" customHeight="1" x14ac:dyDescent="0.25">
      <c r="B73" s="465"/>
      <c r="C73" s="465"/>
      <c r="D73" s="465"/>
      <c r="E73" s="465" t="s">
        <v>847</v>
      </c>
      <c r="F73" s="465"/>
      <c r="G73" s="465"/>
      <c r="H73" s="465"/>
      <c r="I73" s="521" t="s">
        <v>848</v>
      </c>
      <c r="J73" s="521"/>
      <c r="K73" s="521"/>
      <c r="L73" s="521"/>
      <c r="M73" s="521"/>
      <c r="N73" s="521"/>
      <c r="O73" s="521"/>
      <c r="P73" s="521"/>
      <c r="Q73" s="521"/>
      <c r="R73" s="521"/>
      <c r="S73" s="447">
        <v>1</v>
      </c>
      <c r="T73" s="447"/>
    </row>
    <row r="74" spans="2:20" customFormat="1" ht="27.75" customHeight="1" x14ac:dyDescent="0.25">
      <c r="B74" s="749"/>
      <c r="C74" s="750"/>
      <c r="D74" s="750"/>
      <c r="E74" s="750"/>
      <c r="F74" s="750"/>
      <c r="G74" s="750"/>
      <c r="H74" s="750"/>
      <c r="I74" s="750"/>
      <c r="J74" s="750"/>
      <c r="K74" s="750"/>
      <c r="L74" s="750"/>
      <c r="M74" s="750"/>
      <c r="N74" s="750"/>
      <c r="O74" s="750"/>
      <c r="P74" s="750"/>
      <c r="Q74" s="750"/>
      <c r="R74" s="750"/>
      <c r="S74" s="750"/>
      <c r="T74" s="751"/>
    </row>
    <row r="75" spans="2:20" customFormat="1" ht="27.75" customHeight="1" x14ac:dyDescent="0.25">
      <c r="B75" s="289" t="s">
        <v>29</v>
      </c>
      <c r="C75" s="519" t="s">
        <v>125</v>
      </c>
      <c r="D75" s="519"/>
      <c r="E75" s="519" t="s">
        <v>375</v>
      </c>
      <c r="F75" s="519"/>
      <c r="G75" s="519"/>
      <c r="H75" s="519"/>
      <c r="I75" s="519"/>
      <c r="J75" s="519" t="s">
        <v>30</v>
      </c>
      <c r="K75" s="519"/>
      <c r="L75" s="519"/>
      <c r="M75" s="519"/>
      <c r="N75" s="519"/>
      <c r="O75" s="519"/>
      <c r="P75" s="519"/>
      <c r="Q75" s="519"/>
      <c r="R75" s="519"/>
      <c r="S75" s="519" t="s">
        <v>31</v>
      </c>
      <c r="T75" s="519"/>
    </row>
    <row r="76" spans="2:20" customFormat="1" ht="48" customHeight="1" x14ac:dyDescent="0.25">
      <c r="B76" s="465" t="s">
        <v>35</v>
      </c>
      <c r="C76" s="465" t="s">
        <v>36</v>
      </c>
      <c r="D76" s="465"/>
      <c r="E76" s="444" t="s">
        <v>376</v>
      </c>
      <c r="F76" s="444"/>
      <c r="G76" s="444"/>
      <c r="H76" s="444"/>
      <c r="I76" s="444"/>
      <c r="J76" s="466" t="s">
        <v>575</v>
      </c>
      <c r="K76" s="466"/>
      <c r="L76" s="466"/>
      <c r="M76" s="466"/>
      <c r="N76" s="466"/>
      <c r="O76" s="466"/>
      <c r="P76" s="466"/>
      <c r="Q76" s="466"/>
      <c r="R76" s="466"/>
      <c r="S76" s="447">
        <v>1</v>
      </c>
      <c r="T76" s="448"/>
    </row>
    <row r="77" spans="2:20" customFormat="1" ht="37.9" customHeight="1" x14ac:dyDescent="0.25">
      <c r="B77" s="465"/>
      <c r="C77" s="465"/>
      <c r="D77" s="465"/>
      <c r="E77" s="444" t="s">
        <v>377</v>
      </c>
      <c r="F77" s="444"/>
      <c r="G77" s="444"/>
      <c r="H77" s="444"/>
      <c r="I77" s="444"/>
      <c r="J77" s="466" t="s">
        <v>576</v>
      </c>
      <c r="K77" s="466"/>
      <c r="L77" s="466"/>
      <c r="M77" s="466"/>
      <c r="N77" s="466"/>
      <c r="O77" s="466"/>
      <c r="P77" s="466"/>
      <c r="Q77" s="466"/>
      <c r="R77" s="466"/>
      <c r="S77" s="447">
        <v>1</v>
      </c>
      <c r="T77" s="448"/>
    </row>
    <row r="78" spans="2:20" customFormat="1" ht="134.44999999999999" customHeight="1" x14ac:dyDescent="0.25">
      <c r="B78" s="465"/>
      <c r="C78" s="465"/>
      <c r="D78" s="465"/>
      <c r="E78" s="444" t="s">
        <v>378</v>
      </c>
      <c r="F78" s="444"/>
      <c r="G78" s="444"/>
      <c r="H78" s="444"/>
      <c r="I78" s="444"/>
      <c r="J78" s="466" t="s">
        <v>296</v>
      </c>
      <c r="K78" s="466"/>
      <c r="L78" s="466"/>
      <c r="M78" s="466"/>
      <c r="N78" s="466"/>
      <c r="O78" s="466"/>
      <c r="P78" s="466"/>
      <c r="Q78" s="466"/>
      <c r="R78" s="466"/>
      <c r="S78" s="447">
        <v>1</v>
      </c>
      <c r="T78" s="448"/>
    </row>
    <row r="79" spans="2:20" customFormat="1" ht="56.25" customHeight="1" x14ac:dyDescent="0.25">
      <c r="B79" s="465"/>
      <c r="C79" s="465"/>
      <c r="D79" s="465"/>
      <c r="E79" s="444" t="s">
        <v>379</v>
      </c>
      <c r="F79" s="444"/>
      <c r="G79" s="444"/>
      <c r="H79" s="444"/>
      <c r="I79" s="444"/>
      <c r="J79" s="466" t="s">
        <v>577</v>
      </c>
      <c r="K79" s="466"/>
      <c r="L79" s="466"/>
      <c r="M79" s="466"/>
      <c r="N79" s="466"/>
      <c r="O79" s="466"/>
      <c r="P79" s="466"/>
      <c r="Q79" s="466"/>
      <c r="R79" s="466"/>
      <c r="S79" s="447">
        <v>1</v>
      </c>
      <c r="T79" s="448"/>
    </row>
    <row r="80" spans="2:20" customFormat="1" ht="47.45" customHeight="1" x14ac:dyDescent="0.25">
      <c r="B80" s="465"/>
      <c r="C80" s="465"/>
      <c r="D80" s="465"/>
      <c r="E80" s="444" t="s">
        <v>380</v>
      </c>
      <c r="F80" s="444"/>
      <c r="G80" s="444"/>
      <c r="H80" s="444"/>
      <c r="I80" s="444"/>
      <c r="J80" s="466" t="s">
        <v>126</v>
      </c>
      <c r="K80" s="466"/>
      <c r="L80" s="466"/>
      <c r="M80" s="466"/>
      <c r="N80" s="466"/>
      <c r="O80" s="466"/>
      <c r="P80" s="466"/>
      <c r="Q80" s="466"/>
      <c r="R80" s="466"/>
      <c r="S80" s="447">
        <v>1</v>
      </c>
      <c r="T80" s="448"/>
    </row>
    <row r="81" spans="2:20" customFormat="1" ht="118.9" customHeight="1" x14ac:dyDescent="0.25">
      <c r="B81" s="465"/>
      <c r="C81" s="465"/>
      <c r="D81" s="465"/>
      <c r="E81" s="465" t="s">
        <v>382</v>
      </c>
      <c r="F81" s="465"/>
      <c r="G81" s="465"/>
      <c r="H81" s="465"/>
      <c r="I81" s="465"/>
      <c r="J81" s="518" t="s">
        <v>968</v>
      </c>
      <c r="K81" s="518"/>
      <c r="L81" s="518"/>
      <c r="M81" s="518"/>
      <c r="N81" s="518"/>
      <c r="O81" s="518"/>
      <c r="P81" s="518"/>
      <c r="Q81" s="518"/>
      <c r="R81" s="518"/>
      <c r="S81" s="447">
        <v>1</v>
      </c>
      <c r="T81" s="448"/>
    </row>
    <row r="82" spans="2:20" customFormat="1" ht="44.45" customHeight="1" x14ac:dyDescent="0.25">
      <c r="B82" s="465"/>
      <c r="C82" s="465"/>
      <c r="D82" s="465"/>
      <c r="E82" s="444" t="s">
        <v>381</v>
      </c>
      <c r="F82" s="444"/>
      <c r="G82" s="444"/>
      <c r="H82" s="444"/>
      <c r="I82" s="444"/>
      <c r="J82" s="466" t="s">
        <v>578</v>
      </c>
      <c r="K82" s="466"/>
      <c r="L82" s="466"/>
      <c r="M82" s="466"/>
      <c r="N82" s="466"/>
      <c r="O82" s="466"/>
      <c r="P82" s="466"/>
      <c r="Q82" s="466"/>
      <c r="R82" s="466"/>
      <c r="S82" s="447">
        <v>1</v>
      </c>
      <c r="T82" s="448"/>
    </row>
    <row r="83" spans="2:20" customFormat="1" ht="139.5" customHeight="1" x14ac:dyDescent="0.25">
      <c r="B83" s="520"/>
      <c r="C83" s="520"/>
      <c r="D83" s="520"/>
      <c r="E83" s="520" t="s">
        <v>383</v>
      </c>
      <c r="F83" s="520"/>
      <c r="G83" s="520"/>
      <c r="H83" s="520"/>
      <c r="I83" s="520"/>
      <c r="J83" s="467" t="s">
        <v>976</v>
      </c>
      <c r="K83" s="467"/>
      <c r="L83" s="467"/>
      <c r="M83" s="467"/>
      <c r="N83" s="467"/>
      <c r="O83" s="467"/>
      <c r="P83" s="467"/>
      <c r="Q83" s="467"/>
      <c r="R83" s="467"/>
      <c r="S83" s="445">
        <v>1</v>
      </c>
      <c r="T83" s="446"/>
    </row>
    <row r="84" spans="2:20" customFormat="1" ht="129.6" customHeight="1" x14ac:dyDescent="0.25">
      <c r="B84" s="532" t="s">
        <v>37</v>
      </c>
      <c r="C84" s="465" t="s">
        <v>38</v>
      </c>
      <c r="D84" s="465"/>
      <c r="E84" s="444" t="s">
        <v>384</v>
      </c>
      <c r="F84" s="444"/>
      <c r="G84" s="444"/>
      <c r="H84" s="444"/>
      <c r="I84" s="444"/>
      <c r="J84" s="466" t="s">
        <v>579</v>
      </c>
      <c r="K84" s="466"/>
      <c r="L84" s="466"/>
      <c r="M84" s="466"/>
      <c r="N84" s="466"/>
      <c r="O84" s="466"/>
      <c r="P84" s="466"/>
      <c r="Q84" s="466"/>
      <c r="R84" s="466"/>
      <c r="S84" s="447">
        <v>1</v>
      </c>
      <c r="T84" s="448"/>
    </row>
    <row r="85" spans="2:20" customFormat="1" ht="50.45" customHeight="1" x14ac:dyDescent="0.25">
      <c r="B85" s="532"/>
      <c r="C85" s="465"/>
      <c r="D85" s="465"/>
      <c r="E85" s="444" t="s">
        <v>385</v>
      </c>
      <c r="F85" s="444"/>
      <c r="G85" s="444"/>
      <c r="H85" s="444"/>
      <c r="I85" s="444"/>
      <c r="J85" s="466" t="s">
        <v>580</v>
      </c>
      <c r="K85" s="466"/>
      <c r="L85" s="466"/>
      <c r="M85" s="466"/>
      <c r="N85" s="466"/>
      <c r="O85" s="466"/>
      <c r="P85" s="466"/>
      <c r="Q85" s="466"/>
      <c r="R85" s="466"/>
      <c r="S85" s="447">
        <v>1</v>
      </c>
      <c r="T85" s="448"/>
    </row>
    <row r="86" spans="2:20" customFormat="1" ht="30" customHeight="1" x14ac:dyDescent="0.25">
      <c r="B86" s="533"/>
      <c r="C86" s="520"/>
      <c r="D86" s="520"/>
      <c r="E86" s="536" t="s">
        <v>379</v>
      </c>
      <c r="F86" s="536"/>
      <c r="G86" s="536"/>
      <c r="H86" s="536"/>
      <c r="I86" s="536"/>
      <c r="J86" s="537" t="s">
        <v>110</v>
      </c>
      <c r="K86" s="537"/>
      <c r="L86" s="537"/>
      <c r="M86" s="537"/>
      <c r="N86" s="537"/>
      <c r="O86" s="537"/>
      <c r="P86" s="537"/>
      <c r="Q86" s="537"/>
      <c r="R86" s="537"/>
      <c r="S86" s="445">
        <v>1</v>
      </c>
      <c r="T86" s="446"/>
    </row>
    <row r="87" spans="2:20" customFormat="1" ht="131.44999999999999" customHeight="1" x14ac:dyDescent="0.25">
      <c r="B87" s="465" t="s">
        <v>39</v>
      </c>
      <c r="C87" s="465" t="s">
        <v>40</v>
      </c>
      <c r="D87" s="465"/>
      <c r="E87" s="444" t="s">
        <v>384</v>
      </c>
      <c r="F87" s="444"/>
      <c r="G87" s="444"/>
      <c r="H87" s="444"/>
      <c r="I87" s="444"/>
      <c r="J87" s="466" t="s">
        <v>849</v>
      </c>
      <c r="K87" s="466"/>
      <c r="L87" s="466"/>
      <c r="M87" s="466"/>
      <c r="N87" s="466"/>
      <c r="O87" s="466"/>
      <c r="P87" s="466"/>
      <c r="Q87" s="466"/>
      <c r="R87" s="466"/>
      <c r="S87" s="447">
        <v>1</v>
      </c>
      <c r="T87" s="448"/>
    </row>
    <row r="88" spans="2:20" customFormat="1" ht="27.75" customHeight="1" x14ac:dyDescent="0.25">
      <c r="B88" s="465"/>
      <c r="C88" s="465"/>
      <c r="D88" s="465"/>
      <c r="E88" s="444" t="s">
        <v>377</v>
      </c>
      <c r="F88" s="444"/>
      <c r="G88" s="444"/>
      <c r="H88" s="444"/>
      <c r="I88" s="444"/>
      <c r="J88" s="466" t="s">
        <v>977</v>
      </c>
      <c r="K88" s="466"/>
      <c r="L88" s="466"/>
      <c r="M88" s="466"/>
      <c r="N88" s="466"/>
      <c r="O88" s="466"/>
      <c r="P88" s="466"/>
      <c r="Q88" s="466"/>
      <c r="R88" s="466"/>
      <c r="S88" s="447">
        <v>1</v>
      </c>
      <c r="T88" s="448"/>
    </row>
    <row r="89" spans="2:20" customFormat="1" ht="213.6" customHeight="1" x14ac:dyDescent="0.25">
      <c r="B89" s="465"/>
      <c r="C89" s="465"/>
      <c r="D89" s="465"/>
      <c r="E89" s="444" t="s">
        <v>386</v>
      </c>
      <c r="F89" s="444"/>
      <c r="G89" s="444"/>
      <c r="H89" s="444"/>
      <c r="I89" s="444"/>
      <c r="J89" s="466" t="s">
        <v>581</v>
      </c>
      <c r="K89" s="466"/>
      <c r="L89" s="466"/>
      <c r="M89" s="466"/>
      <c r="N89" s="466"/>
      <c r="O89" s="466"/>
      <c r="P89" s="466"/>
      <c r="Q89" s="466"/>
      <c r="R89" s="466"/>
      <c r="S89" s="447">
        <v>1</v>
      </c>
      <c r="T89" s="448"/>
    </row>
    <row r="90" spans="2:20" customFormat="1" ht="35.450000000000003" customHeight="1" x14ac:dyDescent="0.25">
      <c r="B90" s="465"/>
      <c r="C90" s="465"/>
      <c r="D90" s="465"/>
      <c r="E90" s="444" t="s">
        <v>387</v>
      </c>
      <c r="F90" s="444"/>
      <c r="G90" s="444"/>
      <c r="H90" s="444"/>
      <c r="I90" s="444"/>
      <c r="J90" s="466" t="s">
        <v>312</v>
      </c>
      <c r="K90" s="466"/>
      <c r="L90" s="466"/>
      <c r="M90" s="466"/>
      <c r="N90" s="466"/>
      <c r="O90" s="466"/>
      <c r="P90" s="466"/>
      <c r="Q90" s="466"/>
      <c r="R90" s="466"/>
      <c r="S90" s="447">
        <v>1</v>
      </c>
      <c r="T90" s="448"/>
    </row>
    <row r="91" spans="2:20" customFormat="1" ht="36.6" customHeight="1" x14ac:dyDescent="0.25">
      <c r="B91" s="465"/>
      <c r="C91" s="465"/>
      <c r="D91" s="465"/>
      <c r="E91" s="444" t="s">
        <v>379</v>
      </c>
      <c r="F91" s="444"/>
      <c r="G91" s="444"/>
      <c r="H91" s="444"/>
      <c r="I91" s="444"/>
      <c r="J91" s="466" t="s">
        <v>582</v>
      </c>
      <c r="K91" s="466"/>
      <c r="L91" s="466"/>
      <c r="M91" s="466"/>
      <c r="N91" s="466"/>
      <c r="O91" s="466"/>
      <c r="P91" s="466"/>
      <c r="Q91" s="466"/>
      <c r="R91" s="466"/>
      <c r="S91" s="447">
        <v>1</v>
      </c>
      <c r="T91" s="448"/>
    </row>
    <row r="92" spans="2:20" customFormat="1" ht="46.15" customHeight="1" x14ac:dyDescent="0.25">
      <c r="B92" s="465"/>
      <c r="C92" s="465"/>
      <c r="D92" s="465"/>
      <c r="E92" s="444" t="s">
        <v>380</v>
      </c>
      <c r="F92" s="444"/>
      <c r="G92" s="444"/>
      <c r="H92" s="444"/>
      <c r="I92" s="444"/>
      <c r="J92" s="466" t="s">
        <v>583</v>
      </c>
      <c r="K92" s="466"/>
      <c r="L92" s="466"/>
      <c r="M92" s="466"/>
      <c r="N92" s="466"/>
      <c r="O92" s="466"/>
      <c r="P92" s="466"/>
      <c r="Q92" s="466"/>
      <c r="R92" s="466"/>
      <c r="S92" s="447">
        <v>1</v>
      </c>
      <c r="T92" s="448"/>
    </row>
    <row r="93" spans="2:20" customFormat="1" ht="52.9" customHeight="1" x14ac:dyDescent="0.25">
      <c r="B93" s="465"/>
      <c r="C93" s="465"/>
      <c r="D93" s="465"/>
      <c r="E93" s="444" t="s">
        <v>381</v>
      </c>
      <c r="F93" s="444"/>
      <c r="G93" s="444"/>
      <c r="H93" s="444"/>
      <c r="I93" s="444"/>
      <c r="J93" s="466" t="s">
        <v>584</v>
      </c>
      <c r="K93" s="466"/>
      <c r="L93" s="466"/>
      <c r="M93" s="466"/>
      <c r="N93" s="466"/>
      <c r="O93" s="466"/>
      <c r="P93" s="466"/>
      <c r="Q93" s="466"/>
      <c r="R93" s="466"/>
      <c r="S93" s="447">
        <v>1</v>
      </c>
      <c r="T93" s="448"/>
    </row>
    <row r="94" spans="2:20" customFormat="1" ht="36" customHeight="1" x14ac:dyDescent="0.25">
      <c r="B94" s="465"/>
      <c r="C94" s="465"/>
      <c r="D94" s="465"/>
      <c r="E94" s="444" t="s">
        <v>388</v>
      </c>
      <c r="F94" s="444"/>
      <c r="G94" s="444"/>
      <c r="H94" s="444"/>
      <c r="I94" s="444"/>
      <c r="J94" s="466" t="s">
        <v>585</v>
      </c>
      <c r="K94" s="466"/>
      <c r="L94" s="466"/>
      <c r="M94" s="466"/>
      <c r="N94" s="466"/>
      <c r="O94" s="466"/>
      <c r="P94" s="466"/>
      <c r="Q94" s="466"/>
      <c r="R94" s="466"/>
      <c r="S94" s="447">
        <v>1</v>
      </c>
      <c r="T94" s="448"/>
    </row>
    <row r="95" spans="2:20" s="82" customFormat="1" ht="115.15" customHeight="1" x14ac:dyDescent="0.25">
      <c r="B95" s="290" t="s">
        <v>586</v>
      </c>
      <c r="C95" s="465" t="s">
        <v>587</v>
      </c>
      <c r="D95" s="465"/>
      <c r="E95" s="444" t="s">
        <v>588</v>
      </c>
      <c r="F95" s="444"/>
      <c r="G95" s="444"/>
      <c r="H95" s="444"/>
      <c r="I95" s="444"/>
      <c r="J95" s="518" t="s">
        <v>591</v>
      </c>
      <c r="K95" s="518"/>
      <c r="L95" s="518"/>
      <c r="M95" s="518"/>
      <c r="N95" s="518"/>
      <c r="O95" s="518"/>
      <c r="P95" s="518"/>
      <c r="Q95" s="518"/>
      <c r="R95" s="518"/>
      <c r="S95" s="447">
        <v>1</v>
      </c>
      <c r="T95" s="447"/>
    </row>
    <row r="96" spans="2:20" s="82" customFormat="1" ht="134.44999999999999" customHeight="1" x14ac:dyDescent="0.25">
      <c r="B96" s="290" t="s">
        <v>586</v>
      </c>
      <c r="C96" s="468" t="s">
        <v>589</v>
      </c>
      <c r="D96" s="468"/>
      <c r="E96" s="444" t="s">
        <v>389</v>
      </c>
      <c r="F96" s="444"/>
      <c r="G96" s="444"/>
      <c r="H96" s="444"/>
      <c r="I96" s="444"/>
      <c r="J96" s="466" t="s">
        <v>590</v>
      </c>
      <c r="K96" s="466"/>
      <c r="L96" s="466"/>
      <c r="M96" s="466"/>
      <c r="N96" s="466"/>
      <c r="O96" s="466"/>
      <c r="P96" s="466"/>
      <c r="Q96" s="466"/>
      <c r="R96" s="466"/>
      <c r="S96" s="447">
        <v>1</v>
      </c>
      <c r="T96" s="448"/>
    </row>
    <row r="97" spans="1:21" ht="17.25" customHeight="1" x14ac:dyDescent="0.2">
      <c r="B97" s="510"/>
      <c r="C97" s="511"/>
      <c r="D97" s="511"/>
      <c r="E97" s="512"/>
      <c r="F97" s="512"/>
      <c r="G97" s="512"/>
      <c r="H97" s="512"/>
      <c r="I97" s="512"/>
      <c r="J97" s="512"/>
      <c r="K97" s="512"/>
      <c r="L97" s="512"/>
      <c r="M97" s="512"/>
      <c r="N97" s="512"/>
      <c r="O97" s="512"/>
      <c r="P97" s="512"/>
      <c r="Q97" s="512"/>
      <c r="R97" s="512"/>
      <c r="S97" s="512"/>
      <c r="T97" s="513"/>
    </row>
    <row r="98" spans="1:21" ht="28.5" customHeight="1" x14ac:dyDescent="0.2">
      <c r="B98" s="449" t="s">
        <v>29</v>
      </c>
      <c r="C98" s="450"/>
      <c r="D98" s="462" t="s">
        <v>552</v>
      </c>
      <c r="E98" s="463"/>
      <c r="F98" s="463"/>
      <c r="G98" s="463"/>
      <c r="H98" s="463"/>
      <c r="I98" s="463"/>
      <c r="J98" s="464"/>
      <c r="K98" s="462" t="s">
        <v>278</v>
      </c>
      <c r="L98" s="463"/>
      <c r="M98" s="463"/>
      <c r="N98" s="463"/>
      <c r="O98" s="463"/>
      <c r="P98" s="463"/>
      <c r="Q98" s="463"/>
      <c r="R98" s="464"/>
      <c r="S98" s="441" t="s">
        <v>4</v>
      </c>
      <c r="T98" s="443"/>
    </row>
    <row r="99" spans="1:21" ht="81" customHeight="1" x14ac:dyDescent="0.2">
      <c r="B99" s="436" t="s">
        <v>586</v>
      </c>
      <c r="C99" s="436"/>
      <c r="D99" s="469" t="s">
        <v>1344</v>
      </c>
      <c r="E99" s="470"/>
      <c r="F99" s="470"/>
      <c r="G99" s="470"/>
      <c r="H99" s="470"/>
      <c r="I99" s="470"/>
      <c r="J99" s="471"/>
      <c r="K99" s="383" t="s">
        <v>1161</v>
      </c>
      <c r="L99" s="383"/>
      <c r="M99" s="383"/>
      <c r="N99" s="383"/>
      <c r="O99" s="383"/>
      <c r="P99" s="383"/>
      <c r="Q99" s="383"/>
      <c r="R99" s="383"/>
      <c r="S99" s="384" t="s">
        <v>1345</v>
      </c>
      <c r="T99" s="384"/>
    </row>
    <row r="100" spans="1:21" ht="34.9" customHeight="1" x14ac:dyDescent="0.2">
      <c r="B100" s="436" t="s">
        <v>1346</v>
      </c>
      <c r="C100" s="436"/>
      <c r="D100" s="469" t="s">
        <v>1347</v>
      </c>
      <c r="E100" s="470"/>
      <c r="F100" s="470"/>
      <c r="G100" s="470"/>
      <c r="H100" s="470"/>
      <c r="I100" s="470"/>
      <c r="J100" s="471"/>
      <c r="K100" s="383" t="s">
        <v>1348</v>
      </c>
      <c r="L100" s="383"/>
      <c r="M100" s="383"/>
      <c r="N100" s="383"/>
      <c r="O100" s="383"/>
      <c r="P100" s="383"/>
      <c r="Q100" s="383"/>
      <c r="R100" s="383"/>
      <c r="S100" s="384">
        <v>44245</v>
      </c>
      <c r="T100" s="384"/>
    </row>
    <row r="101" spans="1:21" ht="36" customHeight="1" x14ac:dyDescent="0.2">
      <c r="B101" s="436" t="s">
        <v>1349</v>
      </c>
      <c r="C101" s="436"/>
      <c r="D101" s="469" t="s">
        <v>1350</v>
      </c>
      <c r="E101" s="470"/>
      <c r="F101" s="470"/>
      <c r="G101" s="470"/>
      <c r="H101" s="470"/>
      <c r="I101" s="470"/>
      <c r="J101" s="471"/>
      <c r="K101" s="383" t="s">
        <v>1161</v>
      </c>
      <c r="L101" s="383"/>
      <c r="M101" s="383"/>
      <c r="N101" s="383"/>
      <c r="O101" s="383"/>
      <c r="P101" s="383"/>
      <c r="Q101" s="383"/>
      <c r="R101" s="383"/>
      <c r="S101" s="384" t="s">
        <v>1351</v>
      </c>
      <c r="T101" s="384"/>
    </row>
    <row r="102" spans="1:21" ht="36.6" customHeight="1" x14ac:dyDescent="0.2">
      <c r="B102" s="436" t="s">
        <v>586</v>
      </c>
      <c r="C102" s="436"/>
      <c r="D102" s="469" t="s">
        <v>1352</v>
      </c>
      <c r="E102" s="470"/>
      <c r="F102" s="470"/>
      <c r="G102" s="470"/>
      <c r="H102" s="470"/>
      <c r="I102" s="470"/>
      <c r="J102" s="471"/>
      <c r="K102" s="383" t="s">
        <v>1161</v>
      </c>
      <c r="L102" s="383"/>
      <c r="M102" s="383"/>
      <c r="N102" s="383"/>
      <c r="O102" s="383"/>
      <c r="P102" s="383"/>
      <c r="Q102" s="383"/>
      <c r="R102" s="383"/>
      <c r="S102" s="384">
        <v>44249</v>
      </c>
      <c r="T102" s="384"/>
    </row>
    <row r="103" spans="1:21" ht="34.9" customHeight="1" x14ac:dyDescent="0.2">
      <c r="B103" s="436" t="s">
        <v>1353</v>
      </c>
      <c r="C103" s="436"/>
      <c r="D103" s="469" t="s">
        <v>1354</v>
      </c>
      <c r="E103" s="470"/>
      <c r="F103" s="470"/>
      <c r="G103" s="470"/>
      <c r="H103" s="470"/>
      <c r="I103" s="470"/>
      <c r="J103" s="471"/>
      <c r="K103" s="383" t="s">
        <v>1355</v>
      </c>
      <c r="L103" s="383"/>
      <c r="M103" s="383"/>
      <c r="N103" s="383"/>
      <c r="O103" s="383"/>
      <c r="P103" s="383"/>
      <c r="Q103" s="383"/>
      <c r="R103" s="383"/>
      <c r="S103" s="384">
        <v>44250</v>
      </c>
      <c r="T103" s="384"/>
    </row>
    <row r="104" spans="1:21" ht="36" customHeight="1" x14ac:dyDescent="0.2">
      <c r="A104" s="2"/>
      <c r="B104" s="436" t="s">
        <v>586</v>
      </c>
      <c r="C104" s="436"/>
      <c r="D104" s="469" t="s">
        <v>1356</v>
      </c>
      <c r="E104" s="470"/>
      <c r="F104" s="470"/>
      <c r="G104" s="470"/>
      <c r="H104" s="470"/>
      <c r="I104" s="470"/>
      <c r="J104" s="471"/>
      <c r="K104" s="383" t="s">
        <v>1161</v>
      </c>
      <c r="L104" s="383"/>
      <c r="M104" s="383"/>
      <c r="N104" s="383"/>
      <c r="O104" s="383"/>
      <c r="P104" s="383"/>
      <c r="Q104" s="383"/>
      <c r="R104" s="383"/>
      <c r="S104" s="384">
        <v>44251</v>
      </c>
      <c r="T104" s="384"/>
      <c r="U104" s="278"/>
    </row>
    <row r="105" spans="1:21" ht="36.6" customHeight="1" x14ac:dyDescent="0.2">
      <c r="A105" s="2"/>
      <c r="B105" s="756" t="s">
        <v>1157</v>
      </c>
      <c r="C105" s="756"/>
      <c r="D105" s="756"/>
      <c r="E105" s="756"/>
      <c r="F105" s="756"/>
      <c r="G105" s="756"/>
      <c r="H105" s="756"/>
      <c r="I105" s="756"/>
      <c r="J105" s="756"/>
      <c r="K105" s="756"/>
      <c r="L105" s="756"/>
      <c r="M105" s="756"/>
      <c r="N105" s="756"/>
      <c r="O105" s="756"/>
      <c r="P105" s="756"/>
      <c r="Q105" s="756"/>
      <c r="R105" s="756"/>
      <c r="S105" s="756"/>
      <c r="T105" s="756"/>
      <c r="U105" s="352"/>
    </row>
    <row r="106" spans="1:21" ht="24.6" customHeight="1" x14ac:dyDescent="0.2">
      <c r="A106" s="2"/>
      <c r="B106" s="441" t="s">
        <v>41</v>
      </c>
      <c r="C106" s="442"/>
      <c r="D106" s="442"/>
      <c r="E106" s="443"/>
      <c r="F106" s="83" t="s">
        <v>29</v>
      </c>
      <c r="G106" s="441" t="s">
        <v>42</v>
      </c>
      <c r="H106" s="442"/>
      <c r="I106" s="442"/>
      <c r="J106" s="442"/>
      <c r="K106" s="442"/>
      <c r="L106" s="442"/>
      <c r="M106" s="442"/>
      <c r="N106" s="442"/>
      <c r="O106" s="442"/>
      <c r="P106" s="442"/>
      <c r="Q106" s="442"/>
      <c r="R106" s="443"/>
      <c r="S106" s="441" t="s">
        <v>4</v>
      </c>
      <c r="T106" s="443"/>
    </row>
    <row r="107" spans="1:21" ht="37.9" customHeight="1" x14ac:dyDescent="0.2">
      <c r="A107" s="2"/>
      <c r="B107" s="396" t="s">
        <v>978</v>
      </c>
      <c r="C107" s="396"/>
      <c r="D107" s="396"/>
      <c r="E107" s="396"/>
      <c r="F107" s="356" t="s">
        <v>33</v>
      </c>
      <c r="G107" s="392" t="s">
        <v>1037</v>
      </c>
      <c r="H107" s="392"/>
      <c r="I107" s="392"/>
      <c r="J107" s="392"/>
      <c r="K107" s="392"/>
      <c r="L107" s="392"/>
      <c r="M107" s="392"/>
      <c r="N107" s="392"/>
      <c r="O107" s="392"/>
      <c r="P107" s="392"/>
      <c r="Q107" s="392"/>
      <c r="R107" s="392"/>
      <c r="S107" s="384">
        <v>44250</v>
      </c>
      <c r="T107" s="384"/>
    </row>
    <row r="108" spans="1:21" ht="37.9" customHeight="1" x14ac:dyDescent="0.2">
      <c r="A108" s="2"/>
      <c r="B108" s="396"/>
      <c r="C108" s="396"/>
      <c r="D108" s="396"/>
      <c r="E108" s="396"/>
      <c r="F108" s="356" t="s">
        <v>33</v>
      </c>
      <c r="G108" s="392" t="s">
        <v>1038</v>
      </c>
      <c r="H108" s="392"/>
      <c r="I108" s="392"/>
      <c r="J108" s="392"/>
      <c r="K108" s="392"/>
      <c r="L108" s="392"/>
      <c r="M108" s="392"/>
      <c r="N108" s="392"/>
      <c r="O108" s="392"/>
      <c r="P108" s="392"/>
      <c r="Q108" s="392"/>
      <c r="R108" s="392"/>
      <c r="S108" s="384">
        <v>44250</v>
      </c>
      <c r="T108" s="384"/>
    </row>
    <row r="109" spans="1:21" ht="37.9" customHeight="1" x14ac:dyDescent="0.2">
      <c r="A109" s="2"/>
      <c r="B109" s="396" t="s">
        <v>1123</v>
      </c>
      <c r="C109" s="396"/>
      <c r="D109" s="396"/>
      <c r="E109" s="396"/>
      <c r="F109" s="356" t="s">
        <v>33</v>
      </c>
      <c r="G109" s="392" t="s">
        <v>1124</v>
      </c>
      <c r="H109" s="392"/>
      <c r="I109" s="392"/>
      <c r="J109" s="392"/>
      <c r="K109" s="392"/>
      <c r="L109" s="392"/>
      <c r="M109" s="392"/>
      <c r="N109" s="392"/>
      <c r="O109" s="392"/>
      <c r="P109" s="392"/>
      <c r="Q109" s="392"/>
      <c r="R109" s="392"/>
      <c r="S109" s="384">
        <v>44245</v>
      </c>
      <c r="T109" s="384"/>
    </row>
    <row r="110" spans="1:21" ht="37.9" customHeight="1" x14ac:dyDescent="0.2">
      <c r="A110" s="2"/>
      <c r="B110" s="396" t="s">
        <v>1039</v>
      </c>
      <c r="C110" s="396"/>
      <c r="D110" s="396"/>
      <c r="E110" s="396"/>
      <c r="F110" s="356" t="s">
        <v>33</v>
      </c>
      <c r="G110" s="392" t="s">
        <v>1327</v>
      </c>
      <c r="H110" s="392"/>
      <c r="I110" s="392"/>
      <c r="J110" s="392"/>
      <c r="K110" s="392"/>
      <c r="L110" s="392"/>
      <c r="M110" s="392"/>
      <c r="N110" s="392"/>
      <c r="O110" s="392"/>
      <c r="P110" s="392"/>
      <c r="Q110" s="392"/>
      <c r="R110" s="392"/>
      <c r="S110" s="384">
        <v>44249</v>
      </c>
      <c r="T110" s="384"/>
    </row>
    <row r="111" spans="1:21" ht="37.9" customHeight="1" x14ac:dyDescent="0.2">
      <c r="A111" s="2"/>
      <c r="B111" s="396"/>
      <c r="C111" s="396"/>
      <c r="D111" s="396"/>
      <c r="E111" s="396"/>
      <c r="F111" s="356" t="s">
        <v>33</v>
      </c>
      <c r="G111" s="392" t="s">
        <v>1328</v>
      </c>
      <c r="H111" s="392"/>
      <c r="I111" s="392"/>
      <c r="J111" s="392"/>
      <c r="K111" s="392"/>
      <c r="L111" s="392"/>
      <c r="M111" s="392"/>
      <c r="N111" s="392"/>
      <c r="O111" s="392"/>
      <c r="P111" s="392"/>
      <c r="Q111" s="392"/>
      <c r="R111" s="392"/>
      <c r="S111" s="384">
        <v>44249</v>
      </c>
      <c r="T111" s="384"/>
    </row>
    <row r="112" spans="1:21" ht="37.9" customHeight="1" x14ac:dyDescent="0.2">
      <c r="A112" s="2"/>
      <c r="B112" s="396" t="s">
        <v>1158</v>
      </c>
      <c r="C112" s="396"/>
      <c r="D112" s="396"/>
      <c r="E112" s="396"/>
      <c r="F112" s="356">
        <v>1</v>
      </c>
      <c r="G112" s="392" t="s">
        <v>1329</v>
      </c>
      <c r="H112" s="392"/>
      <c r="I112" s="392"/>
      <c r="J112" s="392"/>
      <c r="K112" s="392"/>
      <c r="L112" s="392"/>
      <c r="M112" s="392"/>
      <c r="N112" s="392"/>
      <c r="O112" s="392"/>
      <c r="P112" s="392"/>
      <c r="Q112" s="392"/>
      <c r="R112" s="392"/>
      <c r="S112" s="384">
        <v>44246</v>
      </c>
      <c r="T112" s="384"/>
    </row>
    <row r="113" spans="1:21" ht="37.9" customHeight="1" x14ac:dyDescent="0.2">
      <c r="A113" s="2"/>
      <c r="B113" s="625" t="s">
        <v>1159</v>
      </c>
      <c r="C113" s="625"/>
      <c r="D113" s="625"/>
      <c r="E113" s="625"/>
      <c r="F113" s="356" t="s">
        <v>33</v>
      </c>
      <c r="G113" s="392" t="s">
        <v>1330</v>
      </c>
      <c r="H113" s="392"/>
      <c r="I113" s="392"/>
      <c r="J113" s="392"/>
      <c r="K113" s="392"/>
      <c r="L113" s="392"/>
      <c r="M113" s="392"/>
      <c r="N113" s="392"/>
      <c r="O113" s="392"/>
      <c r="P113" s="392"/>
      <c r="Q113" s="392"/>
      <c r="R113" s="392"/>
      <c r="S113" s="384">
        <v>44249</v>
      </c>
      <c r="T113" s="384"/>
    </row>
    <row r="114" spans="1:21" ht="37.9" customHeight="1" x14ac:dyDescent="0.2">
      <c r="A114" s="2"/>
      <c r="B114" s="625"/>
      <c r="C114" s="625"/>
      <c r="D114" s="625"/>
      <c r="E114" s="625"/>
      <c r="F114" s="356" t="s">
        <v>1331</v>
      </c>
      <c r="G114" s="392" t="s">
        <v>1332</v>
      </c>
      <c r="H114" s="392"/>
      <c r="I114" s="392"/>
      <c r="J114" s="392"/>
      <c r="K114" s="392"/>
      <c r="L114" s="392"/>
      <c r="M114" s="392"/>
      <c r="N114" s="392"/>
      <c r="O114" s="392"/>
      <c r="P114" s="392"/>
      <c r="Q114" s="392"/>
      <c r="R114" s="392"/>
      <c r="S114" s="384">
        <v>44250</v>
      </c>
      <c r="T114" s="384"/>
    </row>
    <row r="115" spans="1:21" ht="37.9" customHeight="1" x14ac:dyDescent="0.2">
      <c r="A115" s="2"/>
      <c r="B115" s="396" t="s">
        <v>1160</v>
      </c>
      <c r="C115" s="396"/>
      <c r="D115" s="396"/>
      <c r="E115" s="396"/>
      <c r="F115" s="356">
        <v>1</v>
      </c>
      <c r="G115" s="392" t="s">
        <v>1333</v>
      </c>
      <c r="H115" s="392"/>
      <c r="I115" s="392"/>
      <c r="J115" s="392"/>
      <c r="K115" s="392"/>
      <c r="L115" s="392"/>
      <c r="M115" s="392"/>
      <c r="N115" s="392"/>
      <c r="O115" s="392"/>
      <c r="P115" s="392"/>
      <c r="Q115" s="392"/>
      <c r="R115" s="392"/>
      <c r="S115" s="384">
        <v>44246</v>
      </c>
      <c r="T115" s="384"/>
    </row>
    <row r="116" spans="1:21" ht="37.9" customHeight="1" x14ac:dyDescent="0.2">
      <c r="A116" s="2"/>
      <c r="B116" s="396" t="s">
        <v>1334</v>
      </c>
      <c r="C116" s="396"/>
      <c r="D116" s="396"/>
      <c r="E116" s="396"/>
      <c r="F116" s="356" t="s">
        <v>33</v>
      </c>
      <c r="G116" s="392" t="s">
        <v>1335</v>
      </c>
      <c r="H116" s="392"/>
      <c r="I116" s="392"/>
      <c r="J116" s="392"/>
      <c r="K116" s="392"/>
      <c r="L116" s="392"/>
      <c r="M116" s="392"/>
      <c r="N116" s="392"/>
      <c r="O116" s="392"/>
      <c r="P116" s="392"/>
      <c r="Q116" s="392"/>
      <c r="R116" s="392"/>
      <c r="S116" s="384">
        <v>44245</v>
      </c>
      <c r="T116" s="384"/>
    </row>
    <row r="117" spans="1:21" ht="15" customHeight="1" x14ac:dyDescent="0.2">
      <c r="B117" s="45"/>
      <c r="C117" s="40"/>
      <c r="D117" s="40"/>
      <c r="E117" s="40"/>
      <c r="F117" s="40"/>
      <c r="G117" s="40"/>
      <c r="H117" s="40"/>
      <c r="I117" s="40"/>
      <c r="J117" s="40"/>
      <c r="K117" s="40"/>
      <c r="L117" s="40"/>
      <c r="M117" s="40"/>
      <c r="N117" s="40"/>
      <c r="O117" s="40"/>
      <c r="P117" s="40"/>
      <c r="Q117" s="40"/>
      <c r="R117" s="40"/>
      <c r="S117" s="40"/>
      <c r="T117" s="41"/>
    </row>
    <row r="118" spans="1:21" ht="25.5" customHeight="1" x14ac:dyDescent="0.2">
      <c r="B118" s="459" t="s">
        <v>288</v>
      </c>
      <c r="C118" s="460"/>
      <c r="D118" s="460"/>
      <c r="E118" s="460"/>
      <c r="F118" s="460"/>
      <c r="G118" s="460"/>
      <c r="H118" s="460"/>
      <c r="I118" s="460"/>
      <c r="J118" s="460"/>
      <c r="K118" s="460"/>
      <c r="L118" s="460"/>
      <c r="M118" s="460"/>
      <c r="N118" s="460"/>
      <c r="O118" s="460"/>
      <c r="P118" s="460"/>
      <c r="Q118" s="460"/>
      <c r="R118" s="460"/>
      <c r="S118" s="460"/>
      <c r="T118" s="461"/>
      <c r="U118" s="278"/>
    </row>
    <row r="119" spans="1:21" ht="34.9" customHeight="1" x14ac:dyDescent="0.2">
      <c r="B119" s="457" t="s">
        <v>43</v>
      </c>
      <c r="C119" s="458"/>
      <c r="D119" s="441" t="s">
        <v>390</v>
      </c>
      <c r="E119" s="442"/>
      <c r="F119" s="442"/>
      <c r="G119" s="442"/>
      <c r="H119" s="442"/>
      <c r="I119" s="442"/>
      <c r="J119" s="443"/>
      <c r="K119" s="441" t="s">
        <v>44</v>
      </c>
      <c r="L119" s="442"/>
      <c r="M119" s="442"/>
      <c r="N119" s="442"/>
      <c r="O119" s="442"/>
      <c r="P119" s="442"/>
      <c r="Q119" s="442"/>
      <c r="R119" s="443"/>
      <c r="S119" s="441" t="s">
        <v>4</v>
      </c>
      <c r="T119" s="443"/>
    </row>
    <row r="120" spans="1:21" ht="36" customHeight="1" x14ac:dyDescent="0.2">
      <c r="B120" s="381" t="s">
        <v>1043</v>
      </c>
      <c r="C120" s="382"/>
      <c r="D120" s="385" t="s">
        <v>1044</v>
      </c>
      <c r="E120" s="386"/>
      <c r="F120" s="386"/>
      <c r="G120" s="386"/>
      <c r="H120" s="386"/>
      <c r="I120" s="386"/>
      <c r="J120" s="387"/>
      <c r="K120" s="376" t="s">
        <v>1045</v>
      </c>
      <c r="L120" s="377"/>
      <c r="M120" s="377"/>
      <c r="N120" s="377"/>
      <c r="O120" s="377"/>
      <c r="P120" s="377"/>
      <c r="Q120" s="377"/>
      <c r="R120" s="378"/>
      <c r="S120" s="379" t="s">
        <v>1383</v>
      </c>
      <c r="T120" s="380"/>
    </row>
    <row r="121" spans="1:21" ht="81" customHeight="1" x14ac:dyDescent="0.2">
      <c r="B121" s="381" t="s">
        <v>1384</v>
      </c>
      <c r="C121" s="382"/>
      <c r="D121" s="376" t="s">
        <v>1385</v>
      </c>
      <c r="E121" s="377"/>
      <c r="F121" s="377"/>
      <c r="G121" s="377"/>
      <c r="H121" s="377"/>
      <c r="I121" s="377"/>
      <c r="J121" s="378"/>
      <c r="K121" s="376" t="s">
        <v>1386</v>
      </c>
      <c r="L121" s="377"/>
      <c r="M121" s="377"/>
      <c r="N121" s="377"/>
      <c r="O121" s="377"/>
      <c r="P121" s="377"/>
      <c r="Q121" s="377"/>
      <c r="R121" s="378"/>
      <c r="S121" s="379">
        <v>44245</v>
      </c>
      <c r="T121" s="380"/>
    </row>
    <row r="122" spans="1:21" ht="36" customHeight="1" x14ac:dyDescent="0.2">
      <c r="B122" s="381" t="s">
        <v>9</v>
      </c>
      <c r="C122" s="382"/>
      <c r="D122" s="376" t="s">
        <v>1387</v>
      </c>
      <c r="E122" s="377"/>
      <c r="F122" s="377"/>
      <c r="G122" s="377"/>
      <c r="H122" s="377"/>
      <c r="I122" s="377"/>
      <c r="J122" s="378"/>
      <c r="K122" s="376" t="s">
        <v>1388</v>
      </c>
      <c r="L122" s="377"/>
      <c r="M122" s="377"/>
      <c r="N122" s="377"/>
      <c r="O122" s="377"/>
      <c r="P122" s="377"/>
      <c r="Q122" s="377"/>
      <c r="R122" s="378"/>
      <c r="S122" s="379">
        <v>44246</v>
      </c>
      <c r="T122" s="380"/>
    </row>
    <row r="123" spans="1:21" ht="36" customHeight="1" x14ac:dyDescent="0.2">
      <c r="B123" s="381" t="s">
        <v>9</v>
      </c>
      <c r="C123" s="382"/>
      <c r="D123" s="376" t="s">
        <v>1389</v>
      </c>
      <c r="E123" s="377"/>
      <c r="F123" s="377"/>
      <c r="G123" s="377"/>
      <c r="H123" s="377"/>
      <c r="I123" s="377"/>
      <c r="J123" s="378"/>
      <c r="K123" s="376" t="s">
        <v>1390</v>
      </c>
      <c r="L123" s="377"/>
      <c r="M123" s="377"/>
      <c r="N123" s="377"/>
      <c r="O123" s="377"/>
      <c r="P123" s="377"/>
      <c r="Q123" s="377"/>
      <c r="R123" s="378"/>
      <c r="S123" s="379">
        <v>44246</v>
      </c>
      <c r="T123" s="380"/>
    </row>
    <row r="124" spans="1:21" ht="36" customHeight="1" x14ac:dyDescent="0.2">
      <c r="B124" s="381" t="s">
        <v>1384</v>
      </c>
      <c r="C124" s="382"/>
      <c r="D124" s="376" t="s">
        <v>1391</v>
      </c>
      <c r="E124" s="377"/>
      <c r="F124" s="377"/>
      <c r="G124" s="377"/>
      <c r="H124" s="377"/>
      <c r="I124" s="377"/>
      <c r="J124" s="378"/>
      <c r="K124" s="376" t="s">
        <v>1392</v>
      </c>
      <c r="L124" s="377"/>
      <c r="M124" s="377"/>
      <c r="N124" s="377"/>
      <c r="O124" s="377"/>
      <c r="P124" s="377"/>
      <c r="Q124" s="377"/>
      <c r="R124" s="378"/>
      <c r="S124" s="379">
        <v>44250</v>
      </c>
      <c r="T124" s="380"/>
    </row>
    <row r="125" spans="1:21" ht="49.15" customHeight="1" x14ac:dyDescent="0.2">
      <c r="B125" s="381" t="s">
        <v>10</v>
      </c>
      <c r="C125" s="382"/>
      <c r="D125" s="376" t="s">
        <v>1393</v>
      </c>
      <c r="E125" s="377"/>
      <c r="F125" s="377"/>
      <c r="G125" s="377"/>
      <c r="H125" s="377"/>
      <c r="I125" s="377"/>
      <c r="J125" s="378"/>
      <c r="K125" s="376" t="s">
        <v>1394</v>
      </c>
      <c r="L125" s="377"/>
      <c r="M125" s="377"/>
      <c r="N125" s="377"/>
      <c r="O125" s="377"/>
      <c r="P125" s="377"/>
      <c r="Q125" s="377"/>
      <c r="R125" s="378"/>
      <c r="S125" s="379">
        <v>44250</v>
      </c>
      <c r="T125" s="380"/>
    </row>
    <row r="126" spans="1:21" ht="77.45" customHeight="1" x14ac:dyDescent="0.2">
      <c r="B126" s="381" t="s">
        <v>9</v>
      </c>
      <c r="C126" s="382"/>
      <c r="D126" s="376" t="s">
        <v>1395</v>
      </c>
      <c r="E126" s="377"/>
      <c r="F126" s="377"/>
      <c r="G126" s="377"/>
      <c r="H126" s="377"/>
      <c r="I126" s="377"/>
      <c r="J126" s="378"/>
      <c r="K126" s="376" t="s">
        <v>1396</v>
      </c>
      <c r="L126" s="377"/>
      <c r="M126" s="377"/>
      <c r="N126" s="377"/>
      <c r="O126" s="377"/>
      <c r="P126" s="377"/>
      <c r="Q126" s="377"/>
      <c r="R126" s="378"/>
      <c r="S126" s="379">
        <v>44251</v>
      </c>
      <c r="T126" s="380"/>
    </row>
    <row r="127" spans="1:21" ht="66.599999999999994" customHeight="1" x14ac:dyDescent="0.2">
      <c r="B127" s="381" t="s">
        <v>10</v>
      </c>
      <c r="C127" s="382"/>
      <c r="D127" s="376" t="s">
        <v>1397</v>
      </c>
      <c r="E127" s="377"/>
      <c r="F127" s="377"/>
      <c r="G127" s="377"/>
      <c r="H127" s="377"/>
      <c r="I127" s="377"/>
      <c r="J127" s="378"/>
      <c r="K127" s="376" t="s">
        <v>1398</v>
      </c>
      <c r="L127" s="377"/>
      <c r="M127" s="377"/>
      <c r="N127" s="377"/>
      <c r="O127" s="377"/>
      <c r="P127" s="377"/>
      <c r="Q127" s="377"/>
      <c r="R127" s="378"/>
      <c r="S127" s="379">
        <v>44251</v>
      </c>
      <c r="T127" s="380"/>
    </row>
    <row r="128" spans="1:21" ht="70.150000000000006" customHeight="1" x14ac:dyDescent="0.2">
      <c r="B128" s="381" t="s">
        <v>10</v>
      </c>
      <c r="C128" s="382"/>
      <c r="D128" s="376" t="s">
        <v>1399</v>
      </c>
      <c r="E128" s="377"/>
      <c r="F128" s="377"/>
      <c r="G128" s="377"/>
      <c r="H128" s="377"/>
      <c r="I128" s="377"/>
      <c r="J128" s="378"/>
      <c r="K128" s="376" t="s">
        <v>1400</v>
      </c>
      <c r="L128" s="377"/>
      <c r="M128" s="377"/>
      <c r="N128" s="377"/>
      <c r="O128" s="377"/>
      <c r="P128" s="377"/>
      <c r="Q128" s="377"/>
      <c r="R128" s="378"/>
      <c r="S128" s="379">
        <v>44251</v>
      </c>
      <c r="T128" s="380"/>
    </row>
    <row r="129" spans="2:20" ht="53.45" customHeight="1" x14ac:dyDescent="0.2">
      <c r="B129" s="381" t="s">
        <v>9</v>
      </c>
      <c r="C129" s="382"/>
      <c r="D129" s="376" t="s">
        <v>1401</v>
      </c>
      <c r="E129" s="377"/>
      <c r="F129" s="377"/>
      <c r="G129" s="377"/>
      <c r="H129" s="377"/>
      <c r="I129" s="377"/>
      <c r="J129" s="378"/>
      <c r="K129" s="376" t="s">
        <v>1402</v>
      </c>
      <c r="L129" s="377"/>
      <c r="M129" s="377"/>
      <c r="N129" s="377"/>
      <c r="O129" s="377"/>
      <c r="P129" s="377"/>
      <c r="Q129" s="377"/>
      <c r="R129" s="378"/>
      <c r="S129" s="379">
        <v>44251</v>
      </c>
      <c r="T129" s="380"/>
    </row>
    <row r="130" spans="2:20" ht="36" customHeight="1" x14ac:dyDescent="0.2">
      <c r="B130" s="381" t="s">
        <v>1043</v>
      </c>
      <c r="C130" s="382"/>
      <c r="D130" s="385" t="s">
        <v>1046</v>
      </c>
      <c r="E130" s="386"/>
      <c r="F130" s="386"/>
      <c r="G130" s="386"/>
      <c r="H130" s="386"/>
      <c r="I130" s="386"/>
      <c r="J130" s="387"/>
      <c r="K130" s="376" t="s">
        <v>1047</v>
      </c>
      <c r="L130" s="377"/>
      <c r="M130" s="377"/>
      <c r="N130" s="377"/>
      <c r="O130" s="377"/>
      <c r="P130" s="377"/>
      <c r="Q130" s="377"/>
      <c r="R130" s="378"/>
      <c r="S130" s="379" t="s">
        <v>1383</v>
      </c>
      <c r="T130" s="380"/>
    </row>
    <row r="131" spans="2:20" s="3" customFormat="1" ht="22.5" customHeight="1" x14ac:dyDescent="0.2">
      <c r="B131" s="438" t="s">
        <v>45</v>
      </c>
      <c r="C131" s="439"/>
      <c r="D131" s="439"/>
      <c r="E131" s="439"/>
      <c r="F131" s="439"/>
      <c r="G131" s="439"/>
      <c r="H131" s="439"/>
      <c r="I131" s="439"/>
      <c r="J131" s="439"/>
      <c r="K131" s="439"/>
      <c r="L131" s="439"/>
      <c r="M131" s="439"/>
      <c r="N131" s="439"/>
      <c r="O131" s="439"/>
      <c r="P131" s="439"/>
      <c r="Q131" s="439"/>
      <c r="R131" s="439"/>
      <c r="S131" s="439"/>
      <c r="T131" s="440"/>
    </row>
    <row r="132" spans="2:20" s="6" customFormat="1" ht="22.5" customHeight="1" x14ac:dyDescent="0.2">
      <c r="B132" s="451" t="s">
        <v>46</v>
      </c>
      <c r="C132" s="452"/>
      <c r="D132" s="452"/>
      <c r="E132" s="452"/>
      <c r="F132" s="452"/>
      <c r="G132" s="452"/>
      <c r="H132" s="452"/>
      <c r="I132" s="452"/>
      <c r="J132" s="452"/>
      <c r="K132" s="452"/>
      <c r="L132" s="452"/>
      <c r="M132" s="452"/>
      <c r="N132" s="452"/>
      <c r="O132" s="452"/>
      <c r="P132" s="452"/>
      <c r="Q132" s="452"/>
      <c r="R132" s="452"/>
      <c r="S132" s="452"/>
      <c r="T132" s="453"/>
    </row>
    <row r="133" spans="2:20" s="7" customFormat="1" ht="47.1" customHeight="1" x14ac:dyDescent="0.25">
      <c r="B133" s="454" t="s">
        <v>391</v>
      </c>
      <c r="C133" s="455"/>
      <c r="D133" s="455"/>
      <c r="E133" s="455"/>
      <c r="F133" s="455"/>
      <c r="G133" s="455"/>
      <c r="H133" s="455"/>
      <c r="I133" s="455"/>
      <c r="J133" s="455"/>
      <c r="K133" s="455"/>
      <c r="L133" s="455"/>
      <c r="M133" s="455"/>
      <c r="N133" s="455"/>
      <c r="O133" s="455"/>
      <c r="P133" s="455"/>
      <c r="Q133" s="455"/>
      <c r="R133" s="455"/>
      <c r="S133" s="455"/>
      <c r="T133" s="456"/>
    </row>
    <row r="134" spans="2:20" s="6" customFormat="1" ht="22.5" customHeight="1" x14ac:dyDescent="0.2">
      <c r="B134" s="477"/>
      <c r="C134" s="478"/>
      <c r="D134" s="478"/>
      <c r="E134" s="478"/>
      <c r="F134" s="478"/>
      <c r="G134" s="478"/>
      <c r="H134" s="478"/>
      <c r="I134" s="478"/>
      <c r="J134" s="478"/>
      <c r="K134" s="478"/>
      <c r="L134" s="478"/>
      <c r="M134" s="478"/>
      <c r="N134" s="478"/>
      <c r="O134" s="478"/>
      <c r="P134" s="478"/>
      <c r="Q134" s="478"/>
      <c r="R134" s="478"/>
      <c r="S134" s="478"/>
      <c r="T134" s="479"/>
    </row>
    <row r="135" spans="2:20" s="6" customFormat="1" ht="22.5" customHeight="1" x14ac:dyDescent="0.2">
      <c r="B135" s="408" t="s">
        <v>47</v>
      </c>
      <c r="C135" s="409"/>
      <c r="D135" s="409"/>
      <c r="E135" s="409"/>
      <c r="F135" s="409"/>
      <c r="G135" s="409"/>
      <c r="H135" s="409"/>
      <c r="I135" s="409"/>
      <c r="J135" s="409"/>
      <c r="K135" s="409"/>
      <c r="L135" s="409"/>
      <c r="M135" s="409"/>
      <c r="N135" s="409"/>
      <c r="O135" s="409"/>
      <c r="P135" s="409"/>
      <c r="Q135" s="409"/>
      <c r="R135" s="409"/>
      <c r="S135" s="409"/>
      <c r="T135" s="410"/>
    </row>
    <row r="136" spans="2:20" s="6" customFormat="1" ht="22.5" customHeight="1" x14ac:dyDescent="0.2">
      <c r="B136" s="429" t="s">
        <v>48</v>
      </c>
      <c r="C136" s="429"/>
      <c r="D136" s="434" t="s">
        <v>392</v>
      </c>
      <c r="E136" s="535"/>
      <c r="F136" s="535"/>
      <c r="G136" s="535"/>
      <c r="H136" s="535"/>
      <c r="I136" s="535"/>
      <c r="J136" s="435"/>
      <c r="K136" s="561" t="s">
        <v>25</v>
      </c>
      <c r="L136" s="561"/>
      <c r="M136" s="561"/>
      <c r="N136" s="561"/>
      <c r="O136" s="561"/>
      <c r="P136" s="561"/>
      <c r="Q136" s="561"/>
      <c r="R136" s="561"/>
      <c r="S136" s="434" t="s">
        <v>49</v>
      </c>
      <c r="T136" s="435"/>
    </row>
    <row r="137" spans="2:20" s="6" customFormat="1" ht="259.14999999999998" customHeight="1" x14ac:dyDescent="0.2">
      <c r="B137" s="433" t="s">
        <v>50</v>
      </c>
      <c r="C137" s="433"/>
      <c r="D137" s="430" t="s">
        <v>393</v>
      </c>
      <c r="E137" s="431"/>
      <c r="F137" s="431"/>
      <c r="G137" s="431"/>
      <c r="H137" s="431"/>
      <c r="I137" s="431"/>
      <c r="J137" s="432"/>
      <c r="K137" s="428" t="s">
        <v>414</v>
      </c>
      <c r="L137" s="428"/>
      <c r="M137" s="428"/>
      <c r="N137" s="428"/>
      <c r="O137" s="428"/>
      <c r="P137" s="428"/>
      <c r="Q137" s="428"/>
      <c r="R137" s="428"/>
      <c r="S137" s="411" t="s">
        <v>415</v>
      </c>
      <c r="T137" s="412"/>
    </row>
    <row r="138" spans="2:20" s="6" customFormat="1" ht="126.75" customHeight="1" x14ac:dyDescent="0.2">
      <c r="B138" s="433" t="s">
        <v>51</v>
      </c>
      <c r="C138" s="433"/>
      <c r="D138" s="419" t="s">
        <v>394</v>
      </c>
      <c r="E138" s="420"/>
      <c r="F138" s="420"/>
      <c r="G138" s="420"/>
      <c r="H138" s="420"/>
      <c r="I138" s="420"/>
      <c r="J138" s="421"/>
      <c r="K138" s="757" t="s">
        <v>52</v>
      </c>
      <c r="L138" s="757"/>
      <c r="M138" s="757"/>
      <c r="N138" s="757"/>
      <c r="O138" s="757"/>
      <c r="P138" s="757"/>
      <c r="Q138" s="757"/>
      <c r="R138" s="757"/>
      <c r="S138" s="411" t="s">
        <v>415</v>
      </c>
      <c r="T138" s="412"/>
    </row>
    <row r="139" spans="2:20" s="6" customFormat="1" ht="82.5" customHeight="1" x14ac:dyDescent="0.2">
      <c r="B139" s="433" t="s">
        <v>53</v>
      </c>
      <c r="C139" s="433"/>
      <c r="D139" s="419" t="s">
        <v>395</v>
      </c>
      <c r="E139" s="420"/>
      <c r="F139" s="420"/>
      <c r="G139" s="420"/>
      <c r="H139" s="420"/>
      <c r="I139" s="420"/>
      <c r="J139" s="421"/>
      <c r="K139" s="757" t="s">
        <v>54</v>
      </c>
      <c r="L139" s="757"/>
      <c r="M139" s="757"/>
      <c r="N139" s="757"/>
      <c r="O139" s="757"/>
      <c r="P139" s="757"/>
      <c r="Q139" s="757"/>
      <c r="R139" s="757"/>
      <c r="S139" s="767" t="s">
        <v>55</v>
      </c>
      <c r="T139" s="768"/>
    </row>
    <row r="140" spans="2:20" s="6" customFormat="1" ht="329.25" customHeight="1" x14ac:dyDescent="0.2">
      <c r="B140" s="433" t="s">
        <v>22</v>
      </c>
      <c r="C140" s="433"/>
      <c r="D140" s="419" t="s">
        <v>396</v>
      </c>
      <c r="E140" s="420"/>
      <c r="F140" s="420"/>
      <c r="G140" s="420"/>
      <c r="H140" s="420"/>
      <c r="I140" s="420"/>
      <c r="J140" s="421"/>
      <c r="K140" s="392" t="s">
        <v>112</v>
      </c>
      <c r="L140" s="715"/>
      <c r="M140" s="715"/>
      <c r="N140" s="715"/>
      <c r="O140" s="715"/>
      <c r="P140" s="715"/>
      <c r="Q140" s="715"/>
      <c r="R140" s="715"/>
      <c r="S140" s="767" t="s">
        <v>55</v>
      </c>
      <c r="T140" s="768"/>
    </row>
    <row r="141" spans="2:20" s="6" customFormat="1" ht="158.1" customHeight="1" x14ac:dyDescent="0.2">
      <c r="B141" s="433" t="s">
        <v>56</v>
      </c>
      <c r="C141" s="433"/>
      <c r="D141" s="419" t="s">
        <v>397</v>
      </c>
      <c r="E141" s="420"/>
      <c r="F141" s="420"/>
      <c r="G141" s="420"/>
      <c r="H141" s="420"/>
      <c r="I141" s="420"/>
      <c r="J141" s="421"/>
      <c r="K141" s="757" t="s">
        <v>57</v>
      </c>
      <c r="L141" s="757"/>
      <c r="M141" s="757"/>
      <c r="N141" s="757"/>
      <c r="O141" s="757"/>
      <c r="P141" s="757"/>
      <c r="Q141" s="757"/>
      <c r="R141" s="757"/>
      <c r="S141" s="411" t="s">
        <v>58</v>
      </c>
      <c r="T141" s="412"/>
    </row>
    <row r="142" spans="2:20" s="6" customFormat="1" ht="22.5" customHeight="1" x14ac:dyDescent="0.2">
      <c r="B142" s="610"/>
      <c r="C142" s="660"/>
      <c r="D142" s="660"/>
      <c r="E142" s="660"/>
      <c r="F142" s="660"/>
      <c r="G142" s="660"/>
      <c r="H142" s="660"/>
      <c r="I142" s="660"/>
      <c r="J142" s="660"/>
      <c r="K142" s="660"/>
      <c r="L142" s="660"/>
      <c r="M142" s="660"/>
      <c r="N142" s="660"/>
      <c r="O142" s="660"/>
      <c r="P142" s="660"/>
      <c r="Q142" s="660"/>
      <c r="R142" s="660"/>
      <c r="S142" s="660"/>
      <c r="T142" s="611"/>
    </row>
    <row r="143" spans="2:20" s="3" customFormat="1" ht="22.5" customHeight="1" x14ac:dyDescent="0.2">
      <c r="B143" s="408" t="s">
        <v>113</v>
      </c>
      <c r="C143" s="409"/>
      <c r="D143" s="409"/>
      <c r="E143" s="409"/>
      <c r="F143" s="409"/>
      <c r="G143" s="409"/>
      <c r="H143" s="409"/>
      <c r="I143" s="409"/>
      <c r="J143" s="409"/>
      <c r="K143" s="409"/>
      <c r="L143" s="409"/>
      <c r="M143" s="409"/>
      <c r="N143" s="409"/>
      <c r="O143" s="409"/>
      <c r="P143" s="409"/>
      <c r="Q143" s="409"/>
      <c r="R143" s="409"/>
      <c r="S143" s="409"/>
      <c r="T143" s="410"/>
    </row>
    <row r="144" spans="2:20" s="3" customFormat="1" ht="29.25" customHeight="1" x14ac:dyDescent="0.2">
      <c r="B144" s="4"/>
      <c r="C144" s="4"/>
      <c r="D144" s="4"/>
      <c r="E144" s="4"/>
      <c r="F144" s="4"/>
      <c r="G144" s="70"/>
      <c r="H144" s="4"/>
      <c r="I144" s="5"/>
      <c r="J144" s="4"/>
      <c r="K144" s="4"/>
      <c r="L144" s="758"/>
      <c r="M144" s="759"/>
      <c r="N144" s="759"/>
      <c r="O144" s="759"/>
      <c r="P144" s="759"/>
      <c r="Q144" s="759"/>
      <c r="R144" s="759"/>
      <c r="S144" s="759"/>
      <c r="T144" s="760"/>
    </row>
    <row r="145" spans="2:20" s="3" customFormat="1" ht="22.5" customHeight="1" x14ac:dyDescent="0.2">
      <c r="B145" s="514" t="s">
        <v>59</v>
      </c>
      <c r="C145" s="515"/>
      <c r="D145" s="515"/>
      <c r="E145" s="515"/>
      <c r="F145" s="515"/>
      <c r="G145" s="515"/>
      <c r="H145" s="515"/>
      <c r="I145" s="515"/>
      <c r="J145" s="515"/>
      <c r="K145" s="516"/>
      <c r="L145" s="761"/>
      <c r="M145" s="762"/>
      <c r="N145" s="762"/>
      <c r="O145" s="762"/>
      <c r="P145" s="762"/>
      <c r="Q145" s="762"/>
      <c r="R145" s="762"/>
      <c r="S145" s="762"/>
      <c r="T145" s="763"/>
    </row>
    <row r="146" spans="2:20" s="3" customFormat="1" ht="28.5" customHeight="1" x14ac:dyDescent="0.2">
      <c r="B146" s="433" t="s">
        <v>60</v>
      </c>
      <c r="C146" s="433"/>
      <c r="D146" s="433"/>
      <c r="E146" s="514" t="s">
        <v>347</v>
      </c>
      <c r="F146" s="516"/>
      <c r="G146" s="8" t="s">
        <v>61</v>
      </c>
      <c r="H146" s="9" t="s">
        <v>62</v>
      </c>
      <c r="I146" s="10" t="s">
        <v>63</v>
      </c>
      <c r="J146" s="66" t="s">
        <v>64</v>
      </c>
      <c r="K146" s="66" t="s">
        <v>65</v>
      </c>
      <c r="L146" s="761"/>
      <c r="M146" s="762"/>
      <c r="N146" s="762"/>
      <c r="O146" s="762"/>
      <c r="P146" s="762"/>
      <c r="Q146" s="762"/>
      <c r="R146" s="762"/>
      <c r="S146" s="762"/>
      <c r="T146" s="763"/>
    </row>
    <row r="147" spans="2:20" s="3" customFormat="1" ht="25.5" customHeight="1" x14ac:dyDescent="0.2">
      <c r="B147" s="388" t="s">
        <v>66</v>
      </c>
      <c r="C147" s="389"/>
      <c r="D147" s="390"/>
      <c r="E147" s="707">
        <v>38.89</v>
      </c>
      <c r="F147" s="708"/>
      <c r="G147" s="13">
        <f>+E160</f>
        <v>0.72599999999999998</v>
      </c>
      <c r="H147" s="27">
        <f>+G160</f>
        <v>0.85440000000000005</v>
      </c>
      <c r="I147" s="11">
        <v>42684</v>
      </c>
      <c r="J147" s="11">
        <v>44923</v>
      </c>
      <c r="K147" s="12">
        <f t="shared" ref="K147:K154" si="0">+J147-I147</f>
        <v>2239</v>
      </c>
      <c r="L147" s="761"/>
      <c r="M147" s="762"/>
      <c r="N147" s="762"/>
      <c r="O147" s="762"/>
      <c r="P147" s="762"/>
      <c r="Q147" s="762"/>
      <c r="R147" s="762"/>
      <c r="S147" s="762"/>
      <c r="T147" s="763"/>
    </row>
    <row r="148" spans="2:20" s="3" customFormat="1" ht="15" customHeight="1" x14ac:dyDescent="0.2">
      <c r="B148" s="388" t="s">
        <v>67</v>
      </c>
      <c r="C148" s="389"/>
      <c r="D148" s="390"/>
      <c r="E148" s="707">
        <v>21.84</v>
      </c>
      <c r="F148" s="708"/>
      <c r="G148" s="13">
        <f>+F202</f>
        <v>0.54139999999999999</v>
      </c>
      <c r="H148" s="27">
        <f>+H202</f>
        <v>0.65990000000000004</v>
      </c>
      <c r="I148" s="11">
        <v>43044</v>
      </c>
      <c r="J148" s="11">
        <v>44772</v>
      </c>
      <c r="K148" s="12">
        <f t="shared" si="0"/>
        <v>1728</v>
      </c>
      <c r="L148" s="761"/>
      <c r="M148" s="762"/>
      <c r="N148" s="762"/>
      <c r="O148" s="762"/>
      <c r="P148" s="762"/>
      <c r="Q148" s="762"/>
      <c r="R148" s="762"/>
      <c r="S148" s="762"/>
      <c r="T148" s="763"/>
    </row>
    <row r="149" spans="2:20" s="3" customFormat="1" ht="30.75" customHeight="1" x14ac:dyDescent="0.2">
      <c r="B149" s="388" t="s">
        <v>68</v>
      </c>
      <c r="C149" s="389"/>
      <c r="D149" s="390"/>
      <c r="E149" s="707">
        <v>0</v>
      </c>
      <c r="F149" s="708"/>
      <c r="G149" s="95">
        <f>F245</f>
        <v>1</v>
      </c>
      <c r="H149" s="96">
        <f>H245</f>
        <v>1</v>
      </c>
      <c r="I149" s="11">
        <v>42689</v>
      </c>
      <c r="J149" s="11">
        <v>42840</v>
      </c>
      <c r="K149" s="12">
        <f t="shared" si="0"/>
        <v>151</v>
      </c>
      <c r="L149" s="761"/>
      <c r="M149" s="762"/>
      <c r="N149" s="762"/>
      <c r="O149" s="762"/>
      <c r="P149" s="762"/>
      <c r="Q149" s="762"/>
      <c r="R149" s="762"/>
      <c r="S149" s="762"/>
      <c r="T149" s="763"/>
    </row>
    <row r="150" spans="2:20" s="3" customFormat="1" ht="25.5" customHeight="1" x14ac:dyDescent="0.2">
      <c r="B150" s="388" t="s">
        <v>69</v>
      </c>
      <c r="C150" s="389"/>
      <c r="D150" s="390"/>
      <c r="E150" s="707">
        <v>34.69</v>
      </c>
      <c r="F150" s="708"/>
      <c r="G150" s="13">
        <f>+E260</f>
        <v>0.7944</v>
      </c>
      <c r="H150" s="27">
        <f>+G260</f>
        <v>0.85760000000000003</v>
      </c>
      <c r="I150" s="11">
        <v>42684</v>
      </c>
      <c r="J150" s="11">
        <v>44923</v>
      </c>
      <c r="K150" s="12">
        <f t="shared" si="0"/>
        <v>2239</v>
      </c>
      <c r="L150" s="761"/>
      <c r="M150" s="762"/>
      <c r="N150" s="762"/>
      <c r="O150" s="762"/>
      <c r="P150" s="762"/>
      <c r="Q150" s="762"/>
      <c r="R150" s="762"/>
      <c r="S150" s="762"/>
      <c r="T150" s="763"/>
    </row>
    <row r="151" spans="2:20" s="3" customFormat="1" ht="23.25" customHeight="1" x14ac:dyDescent="0.2">
      <c r="B151" s="388" t="s">
        <v>487</v>
      </c>
      <c r="C151" s="389"/>
      <c r="D151" s="390"/>
      <c r="E151" s="769">
        <v>4.58</v>
      </c>
      <c r="F151" s="770"/>
      <c r="G151" s="95">
        <f>+H284</f>
        <v>1</v>
      </c>
      <c r="H151" s="96">
        <f>+H281</f>
        <v>1</v>
      </c>
      <c r="I151" s="11">
        <v>42684</v>
      </c>
      <c r="J151" s="11">
        <v>43895</v>
      </c>
      <c r="K151" s="775">
        <f t="shared" si="0"/>
        <v>1211</v>
      </c>
      <c r="L151" s="761"/>
      <c r="M151" s="762"/>
      <c r="N151" s="762"/>
      <c r="O151" s="762"/>
      <c r="P151" s="762"/>
      <c r="Q151" s="762"/>
      <c r="R151" s="762"/>
      <c r="S151" s="762"/>
      <c r="T151" s="763"/>
    </row>
    <row r="152" spans="2:20" s="3" customFormat="1" ht="22.5" customHeight="1" x14ac:dyDescent="0.2">
      <c r="B152" s="388" t="s">
        <v>488</v>
      </c>
      <c r="C152" s="389"/>
      <c r="D152" s="390"/>
      <c r="E152" s="771"/>
      <c r="F152" s="772"/>
      <c r="G152" s="95">
        <f>+F294</f>
        <v>1</v>
      </c>
      <c r="H152" s="96">
        <f>+H294</f>
        <v>1</v>
      </c>
      <c r="I152" s="11">
        <v>42684</v>
      </c>
      <c r="J152" s="11">
        <v>43895</v>
      </c>
      <c r="K152" s="776"/>
      <c r="L152" s="761"/>
      <c r="M152" s="762"/>
      <c r="N152" s="762"/>
      <c r="O152" s="762"/>
      <c r="P152" s="762"/>
      <c r="Q152" s="762"/>
      <c r="R152" s="762"/>
      <c r="S152" s="762"/>
      <c r="T152" s="763"/>
    </row>
    <row r="153" spans="2:20" s="18" customFormat="1" ht="19.5" customHeight="1" x14ac:dyDescent="0.2">
      <c r="B153" s="388" t="s">
        <v>99</v>
      </c>
      <c r="C153" s="389"/>
      <c r="D153" s="390"/>
      <c r="E153" s="773"/>
      <c r="F153" s="774"/>
      <c r="G153" s="95">
        <v>1</v>
      </c>
      <c r="H153" s="96">
        <v>1</v>
      </c>
      <c r="I153" s="14"/>
      <c r="J153" s="14"/>
      <c r="K153" s="777"/>
      <c r="L153" s="761"/>
      <c r="M153" s="762"/>
      <c r="N153" s="762"/>
      <c r="O153" s="762"/>
      <c r="P153" s="762"/>
      <c r="Q153" s="762"/>
      <c r="R153" s="762"/>
      <c r="S153" s="762"/>
      <c r="T153" s="763"/>
    </row>
    <row r="154" spans="2:20" s="18" customFormat="1" ht="21.75" customHeight="1" x14ac:dyDescent="0.25">
      <c r="B154" s="514" t="s">
        <v>70</v>
      </c>
      <c r="C154" s="515"/>
      <c r="D154" s="516"/>
      <c r="E154" s="716">
        <f>SUM(E147:F151)</f>
        <v>100</v>
      </c>
      <c r="F154" s="717"/>
      <c r="G154" s="92">
        <f>+G147*E147+G148*E148+G149*E149+G150*E150+G152*E151</f>
        <v>72.196051999999995</v>
      </c>
      <c r="H154" s="92">
        <f>+H147*E147+H148*E148+H149*E149+H150*E150+H153*E151</f>
        <v>81.969976000000003</v>
      </c>
      <c r="I154" s="93">
        <v>42684</v>
      </c>
      <c r="J154" s="93">
        <v>44549</v>
      </c>
      <c r="K154" s="94">
        <f t="shared" si="0"/>
        <v>1865</v>
      </c>
      <c r="L154" s="761"/>
      <c r="M154" s="762"/>
      <c r="N154" s="762"/>
      <c r="O154" s="762"/>
      <c r="P154" s="762"/>
      <c r="Q154" s="762"/>
      <c r="R154" s="762"/>
      <c r="S154" s="762"/>
      <c r="T154" s="763"/>
    </row>
    <row r="155" spans="2:20" s="18" customFormat="1" ht="14.25" x14ac:dyDescent="0.2">
      <c r="B155" s="67"/>
      <c r="C155" s="67"/>
      <c r="D155" s="67"/>
      <c r="E155" s="13"/>
      <c r="F155" s="13"/>
      <c r="G155" s="15"/>
      <c r="H155" s="14"/>
      <c r="I155" s="16"/>
      <c r="J155" s="14"/>
      <c r="K155" s="14"/>
      <c r="L155" s="764"/>
      <c r="M155" s="765"/>
      <c r="N155" s="765"/>
      <c r="O155" s="765"/>
      <c r="P155" s="765"/>
      <c r="Q155" s="765"/>
      <c r="R155" s="765"/>
      <c r="S155" s="765"/>
      <c r="T155" s="766"/>
    </row>
    <row r="156" spans="2:20" s="3" customFormat="1" ht="15" customHeight="1" x14ac:dyDescent="0.2">
      <c r="B156" s="753" t="s">
        <v>71</v>
      </c>
      <c r="C156" s="754"/>
      <c r="D156" s="754"/>
      <c r="E156" s="754"/>
      <c r="F156" s="754"/>
      <c r="G156" s="754"/>
      <c r="H156" s="754"/>
      <c r="I156" s="754"/>
      <c r="J156" s="754"/>
      <c r="K156" s="754"/>
      <c r="L156" s="754"/>
      <c r="M156" s="754"/>
      <c r="N156" s="754"/>
      <c r="O156" s="754"/>
      <c r="P156" s="754"/>
      <c r="Q156" s="754"/>
      <c r="R156" s="754"/>
      <c r="S156" s="754"/>
      <c r="T156" s="755"/>
    </row>
    <row r="157" spans="2:20" s="3" customFormat="1" ht="22.5" customHeight="1" x14ac:dyDescent="0.2">
      <c r="B157" s="729" t="s">
        <v>404</v>
      </c>
      <c r="C157" s="730"/>
      <c r="D157" s="730"/>
      <c r="E157" s="730"/>
      <c r="F157" s="730"/>
      <c r="G157" s="730"/>
      <c r="H157" s="730"/>
      <c r="I157" s="730"/>
      <c r="J157" s="730"/>
      <c r="K157" s="730"/>
      <c r="L157" s="730"/>
      <c r="M157" s="730"/>
      <c r="N157" s="730"/>
      <c r="O157" s="730"/>
      <c r="P157" s="730"/>
      <c r="Q157" s="730"/>
      <c r="R157" s="730"/>
      <c r="S157" s="730"/>
      <c r="T157" s="731"/>
    </row>
    <row r="158" spans="2:20" s="3" customFormat="1" ht="33.75" customHeight="1" x14ac:dyDescent="0.2">
      <c r="B158" s="413" t="s">
        <v>114</v>
      </c>
      <c r="C158" s="414"/>
      <c r="D158" s="414"/>
      <c r="E158" s="414"/>
      <c r="F158" s="414"/>
      <c r="G158" s="414"/>
      <c r="H158" s="414"/>
      <c r="I158" s="414"/>
      <c r="J158" s="414"/>
      <c r="K158" s="415"/>
      <c r="L158" s="495"/>
      <c r="M158" s="496"/>
      <c r="N158" s="496"/>
      <c r="O158" s="496"/>
      <c r="P158" s="496"/>
      <c r="Q158" s="496"/>
      <c r="R158" s="496"/>
      <c r="S158" s="496"/>
      <c r="T158" s="497"/>
    </row>
    <row r="159" spans="2:20" s="3" customFormat="1" ht="22.5" customHeight="1" x14ac:dyDescent="0.2">
      <c r="B159" s="396" t="s">
        <v>72</v>
      </c>
      <c r="C159" s="396"/>
      <c r="D159" s="396"/>
      <c r="E159" s="381" t="s">
        <v>348</v>
      </c>
      <c r="F159" s="382"/>
      <c r="G159" s="396" t="s">
        <v>62</v>
      </c>
      <c r="H159" s="396"/>
      <c r="I159" s="396" t="s">
        <v>73</v>
      </c>
      <c r="J159" s="396"/>
      <c r="K159" s="396"/>
      <c r="L159" s="498"/>
      <c r="M159" s="499"/>
      <c r="N159" s="499"/>
      <c r="O159" s="499"/>
      <c r="P159" s="499"/>
      <c r="Q159" s="499"/>
      <c r="R159" s="499"/>
      <c r="S159" s="499"/>
      <c r="T159" s="500"/>
    </row>
    <row r="160" spans="2:20" s="3" customFormat="1" ht="22.5" customHeight="1" x14ac:dyDescent="0.2">
      <c r="B160" s="490" t="s">
        <v>74</v>
      </c>
      <c r="C160" s="490"/>
      <c r="D160" s="490"/>
      <c r="E160" s="733">
        <f>+G163</f>
        <v>0.72599999999999998</v>
      </c>
      <c r="F160" s="734"/>
      <c r="G160" s="714">
        <v>0.85440000000000005</v>
      </c>
      <c r="H160" s="714"/>
      <c r="I160" s="473">
        <f>E160-G160</f>
        <v>-0.12840000000000007</v>
      </c>
      <c r="J160" s="473"/>
      <c r="K160" s="473"/>
      <c r="L160" s="498"/>
      <c r="M160" s="499"/>
      <c r="N160" s="499"/>
      <c r="O160" s="499"/>
      <c r="P160" s="499"/>
      <c r="Q160" s="499"/>
      <c r="R160" s="499"/>
      <c r="S160" s="499"/>
      <c r="T160" s="500"/>
    </row>
    <row r="161" spans="2:21" s="3" customFormat="1" ht="22.5" customHeight="1" x14ac:dyDescent="0.2">
      <c r="B161" s="610"/>
      <c r="C161" s="660"/>
      <c r="D161" s="660"/>
      <c r="E161" s="660"/>
      <c r="F161" s="660"/>
      <c r="G161" s="660"/>
      <c r="H161" s="660"/>
      <c r="I161" s="660"/>
      <c r="J161" s="660"/>
      <c r="K161" s="611"/>
      <c r="L161" s="498"/>
      <c r="M161" s="499"/>
      <c r="N161" s="499"/>
      <c r="O161" s="499"/>
      <c r="P161" s="499"/>
      <c r="Q161" s="499"/>
      <c r="R161" s="499"/>
      <c r="S161" s="499"/>
      <c r="T161" s="500"/>
    </row>
    <row r="162" spans="2:21" s="3" customFormat="1" ht="32.25" customHeight="1" x14ac:dyDescent="0.2">
      <c r="B162" s="396" t="s">
        <v>75</v>
      </c>
      <c r="C162" s="396"/>
      <c r="D162" s="396" t="s">
        <v>64</v>
      </c>
      <c r="E162" s="396"/>
      <c r="F162" s="63" t="s">
        <v>76</v>
      </c>
      <c r="G162" s="473" t="s">
        <v>77</v>
      </c>
      <c r="H162" s="473"/>
      <c r="I162" s="63" t="s">
        <v>78</v>
      </c>
      <c r="J162" s="473" t="s">
        <v>79</v>
      </c>
      <c r="K162" s="473"/>
      <c r="L162" s="498"/>
      <c r="M162" s="499"/>
      <c r="N162" s="499"/>
      <c r="O162" s="499"/>
      <c r="P162" s="499"/>
      <c r="Q162" s="499"/>
      <c r="R162" s="499"/>
      <c r="S162" s="499"/>
      <c r="T162" s="500"/>
    </row>
    <row r="163" spans="2:21" s="3" customFormat="1" ht="29.25" customHeight="1" x14ac:dyDescent="0.2">
      <c r="B163" s="480">
        <f>I147</f>
        <v>42684</v>
      </c>
      <c r="C163" s="528"/>
      <c r="D163" s="480">
        <f>J147</f>
        <v>44923</v>
      </c>
      <c r="E163" s="528"/>
      <c r="F163" s="17">
        <f>K147</f>
        <v>2239</v>
      </c>
      <c r="G163" s="711">
        <v>0.72599999999999998</v>
      </c>
      <c r="H163" s="712"/>
      <c r="I163" s="712"/>
      <c r="J163" s="712"/>
      <c r="K163" s="713"/>
      <c r="L163" s="498"/>
      <c r="M163" s="499"/>
      <c r="N163" s="499"/>
      <c r="O163" s="499"/>
      <c r="P163" s="499"/>
      <c r="Q163" s="499"/>
      <c r="R163" s="499"/>
      <c r="S163" s="499"/>
      <c r="T163" s="500"/>
    </row>
    <row r="164" spans="2:21" s="3" customFormat="1" ht="25.5" customHeight="1" x14ac:dyDescent="0.2">
      <c r="B164" s="610"/>
      <c r="C164" s="660"/>
      <c r="D164" s="660"/>
      <c r="E164" s="660"/>
      <c r="F164" s="660"/>
      <c r="G164" s="660"/>
      <c r="H164" s="660"/>
      <c r="I164" s="660"/>
      <c r="J164" s="660"/>
      <c r="K164" s="611"/>
      <c r="L164" s="498"/>
      <c r="M164" s="499"/>
      <c r="N164" s="499"/>
      <c r="O164" s="499"/>
      <c r="P164" s="499"/>
      <c r="Q164" s="499"/>
      <c r="R164" s="499"/>
      <c r="S164" s="499"/>
      <c r="T164" s="500"/>
    </row>
    <row r="165" spans="2:21" s="3" customFormat="1" ht="19.5" customHeight="1" x14ac:dyDescent="0.2">
      <c r="B165" s="413" t="s">
        <v>80</v>
      </c>
      <c r="C165" s="414"/>
      <c r="D165" s="414"/>
      <c r="E165" s="414"/>
      <c r="F165" s="414"/>
      <c r="G165" s="414"/>
      <c r="H165" s="414"/>
      <c r="I165" s="414"/>
      <c r="J165" s="414"/>
      <c r="K165" s="415"/>
      <c r="L165" s="501"/>
      <c r="M165" s="502"/>
      <c r="N165" s="502"/>
      <c r="O165" s="502"/>
      <c r="P165" s="502"/>
      <c r="Q165" s="502"/>
      <c r="R165" s="502"/>
      <c r="S165" s="502"/>
      <c r="T165" s="503"/>
    </row>
    <row r="166" spans="2:21" s="3" customFormat="1" ht="22.5" customHeight="1" x14ac:dyDescent="0.2">
      <c r="B166" s="562" t="s">
        <v>81</v>
      </c>
      <c r="C166" s="562"/>
      <c r="D166" s="562"/>
      <c r="E166" s="562"/>
      <c r="F166" s="721" t="s">
        <v>534</v>
      </c>
      <c r="G166" s="721"/>
      <c r="H166" s="721"/>
      <c r="I166" s="721"/>
      <c r="J166" s="422" t="s">
        <v>82</v>
      </c>
      <c r="K166" s="423"/>
      <c r="L166" s="423"/>
      <c r="M166" s="423"/>
      <c r="N166" s="423"/>
      <c r="O166" s="423"/>
      <c r="P166" s="423"/>
      <c r="Q166" s="423"/>
      <c r="R166" s="423"/>
      <c r="S166" s="423"/>
      <c r="T166" s="424"/>
    </row>
    <row r="167" spans="2:21" s="3" customFormat="1" ht="19.5" customHeight="1" x14ac:dyDescent="0.2">
      <c r="B167" s="562" t="s">
        <v>83</v>
      </c>
      <c r="C167" s="562"/>
      <c r="D167" s="562" t="s">
        <v>349</v>
      </c>
      <c r="E167" s="562"/>
      <c r="F167" s="721"/>
      <c r="G167" s="721"/>
      <c r="H167" s="721"/>
      <c r="I167" s="721"/>
      <c r="J167" s="425"/>
      <c r="K167" s="426"/>
      <c r="L167" s="426"/>
      <c r="M167" s="426"/>
      <c r="N167" s="426"/>
      <c r="O167" s="426"/>
      <c r="P167" s="426"/>
      <c r="Q167" s="426"/>
      <c r="R167" s="426"/>
      <c r="S167" s="426"/>
      <c r="T167" s="427"/>
    </row>
    <row r="168" spans="2:21" s="3" customFormat="1" ht="82.9" customHeight="1" x14ac:dyDescent="0.2">
      <c r="B168" s="397" t="s">
        <v>403</v>
      </c>
      <c r="C168" s="398"/>
      <c r="D168" s="397" t="s">
        <v>491</v>
      </c>
      <c r="E168" s="398"/>
      <c r="F168" s="397" t="s">
        <v>1137</v>
      </c>
      <c r="G168" s="407"/>
      <c r="H168" s="407"/>
      <c r="I168" s="398"/>
      <c r="J168" s="404" t="s">
        <v>1138</v>
      </c>
      <c r="K168" s="405"/>
      <c r="L168" s="405"/>
      <c r="M168" s="405"/>
      <c r="N168" s="405"/>
      <c r="O168" s="405"/>
      <c r="P168" s="405"/>
      <c r="Q168" s="405"/>
      <c r="R168" s="405"/>
      <c r="S168" s="405"/>
      <c r="T168" s="406"/>
      <c r="U168" s="277"/>
    </row>
    <row r="169" spans="2:21" s="3" customFormat="1" ht="109.15" customHeight="1" x14ac:dyDescent="0.2">
      <c r="B169" s="397" t="s">
        <v>521</v>
      </c>
      <c r="C169" s="398"/>
      <c r="D169" s="397" t="s">
        <v>543</v>
      </c>
      <c r="E169" s="398"/>
      <c r="F169" s="399" t="s">
        <v>733</v>
      </c>
      <c r="G169" s="403"/>
      <c r="H169" s="403"/>
      <c r="I169" s="400"/>
      <c r="J169" s="404" t="s">
        <v>1172</v>
      </c>
      <c r="K169" s="405"/>
      <c r="L169" s="405"/>
      <c r="M169" s="405"/>
      <c r="N169" s="405"/>
      <c r="O169" s="405"/>
      <c r="P169" s="405"/>
      <c r="Q169" s="405"/>
      <c r="R169" s="405"/>
      <c r="S169" s="405"/>
      <c r="T169" s="406"/>
      <c r="U169" s="277"/>
    </row>
    <row r="170" spans="2:21" s="3" customFormat="1" ht="49.9" customHeight="1" x14ac:dyDescent="0.2">
      <c r="B170" s="397" t="s">
        <v>767</v>
      </c>
      <c r="C170" s="398"/>
      <c r="D170" s="397" t="s">
        <v>831</v>
      </c>
      <c r="E170" s="398"/>
      <c r="F170" s="399" t="s">
        <v>760</v>
      </c>
      <c r="G170" s="403"/>
      <c r="H170" s="403"/>
      <c r="I170" s="400"/>
      <c r="J170" s="404" t="s">
        <v>1108</v>
      </c>
      <c r="K170" s="405"/>
      <c r="L170" s="405"/>
      <c r="M170" s="405"/>
      <c r="N170" s="405"/>
      <c r="O170" s="405"/>
      <c r="P170" s="405"/>
      <c r="Q170" s="405"/>
      <c r="R170" s="405"/>
      <c r="S170" s="405"/>
      <c r="T170" s="406"/>
      <c r="U170" s="277"/>
    </row>
    <row r="171" spans="2:21" s="3" customFormat="1" ht="113.45" customHeight="1" x14ac:dyDescent="0.2">
      <c r="B171" s="397" t="s">
        <v>752</v>
      </c>
      <c r="C171" s="398"/>
      <c r="D171" s="397" t="s">
        <v>761</v>
      </c>
      <c r="E171" s="398"/>
      <c r="F171" s="399" t="s">
        <v>760</v>
      </c>
      <c r="G171" s="403"/>
      <c r="H171" s="403"/>
      <c r="I171" s="400"/>
      <c r="J171" s="404" t="s">
        <v>1173</v>
      </c>
      <c r="K171" s="405"/>
      <c r="L171" s="405"/>
      <c r="M171" s="405"/>
      <c r="N171" s="405"/>
      <c r="O171" s="405"/>
      <c r="P171" s="405"/>
      <c r="Q171" s="405"/>
      <c r="R171" s="405"/>
      <c r="S171" s="405"/>
      <c r="T171" s="406"/>
      <c r="U171" s="277"/>
    </row>
    <row r="172" spans="2:21" s="3" customFormat="1" ht="122.45" customHeight="1" x14ac:dyDescent="0.2">
      <c r="B172" s="399" t="s">
        <v>558</v>
      </c>
      <c r="C172" s="400"/>
      <c r="D172" s="397"/>
      <c r="E172" s="398"/>
      <c r="F172" s="399" t="s">
        <v>1030</v>
      </c>
      <c r="G172" s="403"/>
      <c r="H172" s="403"/>
      <c r="I172" s="400"/>
      <c r="J172" s="404" t="s">
        <v>1187</v>
      </c>
      <c r="K172" s="405"/>
      <c r="L172" s="405"/>
      <c r="M172" s="405"/>
      <c r="N172" s="405"/>
      <c r="O172" s="405"/>
      <c r="P172" s="405"/>
      <c r="Q172" s="405"/>
      <c r="R172" s="405"/>
      <c r="S172" s="405"/>
      <c r="T172" s="406"/>
      <c r="U172" s="277"/>
    </row>
    <row r="173" spans="2:21" s="3" customFormat="1" ht="45.6" customHeight="1" x14ac:dyDescent="0.2">
      <c r="B173" s="399" t="s">
        <v>1048</v>
      </c>
      <c r="C173" s="400"/>
      <c r="D173" s="397" t="s">
        <v>1049</v>
      </c>
      <c r="E173" s="398"/>
      <c r="F173" s="397" t="s">
        <v>760</v>
      </c>
      <c r="G173" s="407"/>
      <c r="H173" s="407"/>
      <c r="I173" s="398"/>
      <c r="J173" s="404" t="s">
        <v>1174</v>
      </c>
      <c r="K173" s="405"/>
      <c r="L173" s="405"/>
      <c r="M173" s="405"/>
      <c r="N173" s="405"/>
      <c r="O173" s="405"/>
      <c r="P173" s="405"/>
      <c r="Q173" s="405"/>
      <c r="R173" s="405"/>
      <c r="S173" s="405"/>
      <c r="T173" s="406"/>
      <c r="U173" s="277"/>
    </row>
    <row r="174" spans="2:21" s="3" customFormat="1" ht="57" customHeight="1" x14ac:dyDescent="0.2">
      <c r="B174" s="399" t="s">
        <v>530</v>
      </c>
      <c r="C174" s="400"/>
      <c r="D174" s="397"/>
      <c r="E174" s="398"/>
      <c r="F174" s="397" t="s">
        <v>753</v>
      </c>
      <c r="G174" s="407"/>
      <c r="H174" s="407"/>
      <c r="I174" s="398"/>
      <c r="J174" s="404" t="s">
        <v>1002</v>
      </c>
      <c r="K174" s="405"/>
      <c r="L174" s="405"/>
      <c r="M174" s="405"/>
      <c r="N174" s="405"/>
      <c r="O174" s="405"/>
      <c r="P174" s="405"/>
      <c r="Q174" s="405"/>
      <c r="R174" s="405"/>
      <c r="S174" s="405"/>
      <c r="T174" s="406"/>
      <c r="U174" s="277"/>
    </row>
    <row r="175" spans="2:21" s="3" customFormat="1" ht="102.6" customHeight="1" x14ac:dyDescent="0.2">
      <c r="B175" s="399" t="s">
        <v>762</v>
      </c>
      <c r="C175" s="400"/>
      <c r="D175" s="397"/>
      <c r="E175" s="398"/>
      <c r="F175" s="397" t="s">
        <v>985</v>
      </c>
      <c r="G175" s="407"/>
      <c r="H175" s="407"/>
      <c r="I175" s="398"/>
      <c r="J175" s="404" t="s">
        <v>1175</v>
      </c>
      <c r="K175" s="405"/>
      <c r="L175" s="405"/>
      <c r="M175" s="405"/>
      <c r="N175" s="405"/>
      <c r="O175" s="405"/>
      <c r="P175" s="405"/>
      <c r="Q175" s="405"/>
      <c r="R175" s="405"/>
      <c r="S175" s="405"/>
      <c r="T175" s="406"/>
      <c r="U175" s="277"/>
    </row>
    <row r="176" spans="2:21" s="3" customFormat="1" ht="60.6" customHeight="1" x14ac:dyDescent="0.2">
      <c r="B176" s="399" t="s">
        <v>522</v>
      </c>
      <c r="C176" s="400"/>
      <c r="D176" s="397"/>
      <c r="E176" s="398"/>
      <c r="F176" s="397" t="s">
        <v>763</v>
      </c>
      <c r="G176" s="407"/>
      <c r="H176" s="407"/>
      <c r="I176" s="398"/>
      <c r="J176" s="404" t="s">
        <v>1109</v>
      </c>
      <c r="K176" s="405"/>
      <c r="L176" s="405"/>
      <c r="M176" s="405"/>
      <c r="N176" s="405"/>
      <c r="O176" s="405"/>
      <c r="P176" s="405"/>
      <c r="Q176" s="405"/>
      <c r="R176" s="405"/>
      <c r="S176" s="405"/>
      <c r="T176" s="406"/>
      <c r="U176" s="277"/>
    </row>
    <row r="177" spans="2:21" s="3" customFormat="1" ht="55.9" customHeight="1" x14ac:dyDescent="0.2">
      <c r="B177" s="399" t="s">
        <v>602</v>
      </c>
      <c r="C177" s="400"/>
      <c r="D177" s="397"/>
      <c r="E177" s="398"/>
      <c r="F177" s="397" t="s">
        <v>592</v>
      </c>
      <c r="G177" s="407"/>
      <c r="H177" s="407"/>
      <c r="I177" s="398"/>
      <c r="J177" s="404" t="s">
        <v>1063</v>
      </c>
      <c r="K177" s="405"/>
      <c r="L177" s="405"/>
      <c r="M177" s="405"/>
      <c r="N177" s="405"/>
      <c r="O177" s="405"/>
      <c r="P177" s="405"/>
      <c r="Q177" s="405"/>
      <c r="R177" s="405"/>
      <c r="S177" s="405"/>
      <c r="T177" s="406"/>
      <c r="U177" s="277"/>
    </row>
    <row r="178" spans="2:21" s="3" customFormat="1" ht="123.6" customHeight="1" x14ac:dyDescent="0.2">
      <c r="B178" s="399" t="s">
        <v>749</v>
      </c>
      <c r="C178" s="400"/>
      <c r="D178" s="397" t="s">
        <v>593</v>
      </c>
      <c r="E178" s="398"/>
      <c r="F178" s="397" t="s">
        <v>750</v>
      </c>
      <c r="G178" s="407"/>
      <c r="H178" s="407"/>
      <c r="I178" s="398"/>
      <c r="J178" s="404" t="s">
        <v>1110</v>
      </c>
      <c r="K178" s="405"/>
      <c r="L178" s="405"/>
      <c r="M178" s="405"/>
      <c r="N178" s="405"/>
      <c r="O178" s="405"/>
      <c r="P178" s="405"/>
      <c r="Q178" s="405"/>
      <c r="R178" s="405"/>
      <c r="S178" s="405"/>
      <c r="T178" s="406"/>
      <c r="U178" s="277"/>
    </row>
    <row r="179" spans="2:21" s="3" customFormat="1" ht="126" customHeight="1" x14ac:dyDescent="0.2">
      <c r="B179" s="397" t="s">
        <v>559</v>
      </c>
      <c r="C179" s="398"/>
      <c r="D179" s="397" t="s">
        <v>593</v>
      </c>
      <c r="E179" s="398"/>
      <c r="F179" s="399" t="s">
        <v>560</v>
      </c>
      <c r="G179" s="403"/>
      <c r="H179" s="403"/>
      <c r="I179" s="400"/>
      <c r="J179" s="404" t="s">
        <v>1176</v>
      </c>
      <c r="K179" s="405"/>
      <c r="L179" s="405"/>
      <c r="M179" s="405"/>
      <c r="N179" s="405"/>
      <c r="O179" s="405"/>
      <c r="P179" s="405"/>
      <c r="Q179" s="405"/>
      <c r="R179" s="405"/>
      <c r="S179" s="405"/>
      <c r="T179" s="406"/>
      <c r="U179" s="277"/>
    </row>
    <row r="180" spans="2:21" s="3" customFormat="1" ht="199.9" customHeight="1" x14ac:dyDescent="0.2">
      <c r="B180" s="397" t="s">
        <v>505</v>
      </c>
      <c r="C180" s="398"/>
      <c r="D180" s="397"/>
      <c r="E180" s="398"/>
      <c r="F180" s="399" t="s">
        <v>556</v>
      </c>
      <c r="G180" s="403"/>
      <c r="H180" s="403"/>
      <c r="I180" s="400"/>
      <c r="J180" s="404" t="s">
        <v>1177</v>
      </c>
      <c r="K180" s="405"/>
      <c r="L180" s="405"/>
      <c r="M180" s="405"/>
      <c r="N180" s="405"/>
      <c r="O180" s="405"/>
      <c r="P180" s="405"/>
      <c r="Q180" s="405"/>
      <c r="R180" s="405"/>
      <c r="S180" s="405"/>
      <c r="T180" s="406"/>
      <c r="U180" s="277"/>
    </row>
    <row r="181" spans="2:21" s="3" customFormat="1" ht="69.599999999999994" customHeight="1" x14ac:dyDescent="0.2">
      <c r="B181" s="397" t="s">
        <v>561</v>
      </c>
      <c r="C181" s="398"/>
      <c r="D181" s="397"/>
      <c r="E181" s="398"/>
      <c r="F181" s="399" t="s">
        <v>1133</v>
      </c>
      <c r="G181" s="403"/>
      <c r="H181" s="403"/>
      <c r="I181" s="400"/>
      <c r="J181" s="404" t="s">
        <v>1178</v>
      </c>
      <c r="K181" s="405"/>
      <c r="L181" s="405"/>
      <c r="M181" s="405"/>
      <c r="N181" s="405"/>
      <c r="O181" s="405"/>
      <c r="P181" s="405"/>
      <c r="Q181" s="405"/>
      <c r="R181" s="405"/>
      <c r="S181" s="405"/>
      <c r="T181" s="406"/>
      <c r="U181" s="277"/>
    </row>
    <row r="182" spans="2:21" s="3" customFormat="1" ht="124.15" customHeight="1" x14ac:dyDescent="0.2">
      <c r="B182" s="397" t="s">
        <v>754</v>
      </c>
      <c r="C182" s="398"/>
      <c r="D182" s="397" t="s">
        <v>850</v>
      </c>
      <c r="E182" s="398"/>
      <c r="F182" s="399" t="s">
        <v>755</v>
      </c>
      <c r="G182" s="403"/>
      <c r="H182" s="403"/>
      <c r="I182" s="400"/>
      <c r="J182" s="404" t="s">
        <v>1179</v>
      </c>
      <c r="K182" s="405"/>
      <c r="L182" s="405"/>
      <c r="M182" s="405"/>
      <c r="N182" s="405"/>
      <c r="O182" s="405"/>
      <c r="P182" s="405"/>
      <c r="Q182" s="405"/>
      <c r="R182" s="405"/>
      <c r="S182" s="405"/>
      <c r="T182" s="406"/>
      <c r="U182" s="277"/>
    </row>
    <row r="183" spans="2:21" s="3" customFormat="1" ht="114.6" customHeight="1" x14ac:dyDescent="0.2">
      <c r="B183" s="399" t="s">
        <v>492</v>
      </c>
      <c r="C183" s="400"/>
      <c r="D183" s="397"/>
      <c r="E183" s="398"/>
      <c r="F183" s="399" t="s">
        <v>1003</v>
      </c>
      <c r="G183" s="403"/>
      <c r="H183" s="403"/>
      <c r="I183" s="400"/>
      <c r="J183" s="404" t="s">
        <v>1134</v>
      </c>
      <c r="K183" s="405"/>
      <c r="L183" s="405"/>
      <c r="M183" s="405"/>
      <c r="N183" s="405"/>
      <c r="O183" s="405"/>
      <c r="P183" s="405"/>
      <c r="Q183" s="405"/>
      <c r="R183" s="405"/>
      <c r="S183" s="405"/>
      <c r="T183" s="406"/>
      <c r="U183" s="277"/>
    </row>
    <row r="184" spans="2:21" s="3" customFormat="1" ht="155.44999999999999" customHeight="1" x14ac:dyDescent="0.2">
      <c r="B184" s="397" t="s">
        <v>1064</v>
      </c>
      <c r="C184" s="398"/>
      <c r="D184" s="397"/>
      <c r="E184" s="398"/>
      <c r="F184" s="399" t="s">
        <v>756</v>
      </c>
      <c r="G184" s="403"/>
      <c r="H184" s="403"/>
      <c r="I184" s="400"/>
      <c r="J184" s="404" t="s">
        <v>1180</v>
      </c>
      <c r="K184" s="405"/>
      <c r="L184" s="405"/>
      <c r="M184" s="405"/>
      <c r="N184" s="405"/>
      <c r="O184" s="405"/>
      <c r="P184" s="405"/>
      <c r="Q184" s="405"/>
      <c r="R184" s="405"/>
      <c r="S184" s="405"/>
      <c r="T184" s="406"/>
      <c r="U184" s="277"/>
    </row>
    <row r="185" spans="2:21" s="3" customFormat="1" ht="285" customHeight="1" x14ac:dyDescent="0.2">
      <c r="B185" s="397" t="s">
        <v>557</v>
      </c>
      <c r="C185" s="398"/>
      <c r="D185" s="397" t="s">
        <v>757</v>
      </c>
      <c r="E185" s="398"/>
      <c r="F185" s="399" t="s">
        <v>851</v>
      </c>
      <c r="G185" s="403"/>
      <c r="H185" s="403"/>
      <c r="I185" s="400"/>
      <c r="J185" s="404" t="s">
        <v>1181</v>
      </c>
      <c r="K185" s="405"/>
      <c r="L185" s="405"/>
      <c r="M185" s="405"/>
      <c r="N185" s="405"/>
      <c r="O185" s="405"/>
      <c r="P185" s="405"/>
      <c r="Q185" s="405"/>
      <c r="R185" s="405"/>
      <c r="S185" s="405"/>
      <c r="T185" s="406"/>
      <c r="U185" s="277"/>
    </row>
    <row r="186" spans="2:21" s="3" customFormat="1" ht="148.15" customHeight="1" x14ac:dyDescent="0.2">
      <c r="B186" s="397" t="s">
        <v>728</v>
      </c>
      <c r="C186" s="398"/>
      <c r="D186" s="397"/>
      <c r="E186" s="398"/>
      <c r="F186" s="399" t="s">
        <v>735</v>
      </c>
      <c r="G186" s="403"/>
      <c r="H186" s="403"/>
      <c r="I186" s="400"/>
      <c r="J186" s="404" t="s">
        <v>1111</v>
      </c>
      <c r="K186" s="405"/>
      <c r="L186" s="405"/>
      <c r="M186" s="405"/>
      <c r="N186" s="405"/>
      <c r="O186" s="405"/>
      <c r="P186" s="405"/>
      <c r="Q186" s="405"/>
      <c r="R186" s="405"/>
      <c r="S186" s="405"/>
      <c r="T186" s="406"/>
      <c r="U186" s="277"/>
    </row>
    <row r="187" spans="2:21" s="3" customFormat="1" ht="61.9" customHeight="1" x14ac:dyDescent="0.2">
      <c r="B187" s="397" t="s">
        <v>603</v>
      </c>
      <c r="C187" s="398"/>
      <c r="D187" s="397"/>
      <c r="E187" s="398"/>
      <c r="F187" s="399" t="s">
        <v>736</v>
      </c>
      <c r="G187" s="403"/>
      <c r="H187" s="403"/>
      <c r="I187" s="400"/>
      <c r="J187" s="404" t="s">
        <v>986</v>
      </c>
      <c r="K187" s="405"/>
      <c r="L187" s="405"/>
      <c r="M187" s="405"/>
      <c r="N187" s="405"/>
      <c r="O187" s="405"/>
      <c r="P187" s="405"/>
      <c r="Q187" s="405"/>
      <c r="R187" s="405"/>
      <c r="S187" s="405"/>
      <c r="T187" s="406"/>
      <c r="U187" s="277"/>
    </row>
    <row r="188" spans="2:21" s="3" customFormat="1" ht="48.6" customHeight="1" x14ac:dyDescent="0.2">
      <c r="B188" s="397" t="s">
        <v>536</v>
      </c>
      <c r="C188" s="398"/>
      <c r="D188" s="397"/>
      <c r="E188" s="398"/>
      <c r="F188" s="399" t="s">
        <v>737</v>
      </c>
      <c r="G188" s="403"/>
      <c r="H188" s="403"/>
      <c r="I188" s="400"/>
      <c r="J188" s="404" t="s">
        <v>1113</v>
      </c>
      <c r="K188" s="405"/>
      <c r="L188" s="405"/>
      <c r="M188" s="405"/>
      <c r="N188" s="405"/>
      <c r="O188" s="405"/>
      <c r="P188" s="405"/>
      <c r="Q188" s="405"/>
      <c r="R188" s="405"/>
      <c r="S188" s="405"/>
      <c r="T188" s="406"/>
      <c r="U188" s="277"/>
    </row>
    <row r="189" spans="2:21" s="3" customFormat="1" ht="106.15" customHeight="1" x14ac:dyDescent="0.2">
      <c r="B189" s="397" t="s">
        <v>1065</v>
      </c>
      <c r="C189" s="398"/>
      <c r="D189" s="397" t="s">
        <v>1066</v>
      </c>
      <c r="E189" s="398"/>
      <c r="F189" s="399" t="s">
        <v>1067</v>
      </c>
      <c r="G189" s="403"/>
      <c r="H189" s="403"/>
      <c r="I189" s="400"/>
      <c r="J189" s="404" t="s">
        <v>1182</v>
      </c>
      <c r="K189" s="405"/>
      <c r="L189" s="405"/>
      <c r="M189" s="405"/>
      <c r="N189" s="405"/>
      <c r="O189" s="405"/>
      <c r="P189" s="405"/>
      <c r="Q189" s="405"/>
      <c r="R189" s="405"/>
      <c r="S189" s="405"/>
      <c r="T189" s="406"/>
      <c r="U189" s="277"/>
    </row>
    <row r="190" spans="2:21" s="3" customFormat="1" ht="112.15" customHeight="1" x14ac:dyDescent="0.2">
      <c r="B190" s="397" t="s">
        <v>535</v>
      </c>
      <c r="C190" s="398"/>
      <c r="D190" s="397" t="s">
        <v>738</v>
      </c>
      <c r="E190" s="398"/>
      <c r="F190" s="399" t="s">
        <v>766</v>
      </c>
      <c r="G190" s="403"/>
      <c r="H190" s="403"/>
      <c r="I190" s="400"/>
      <c r="J190" s="404" t="s">
        <v>1050</v>
      </c>
      <c r="K190" s="405"/>
      <c r="L190" s="405"/>
      <c r="M190" s="405"/>
      <c r="N190" s="405"/>
      <c r="O190" s="405"/>
      <c r="P190" s="405"/>
      <c r="Q190" s="405"/>
      <c r="R190" s="405"/>
      <c r="S190" s="405"/>
      <c r="T190" s="406"/>
      <c r="U190" s="277"/>
    </row>
    <row r="191" spans="2:21" s="3" customFormat="1" ht="75.599999999999994" customHeight="1" x14ac:dyDescent="0.2">
      <c r="B191" s="397" t="s">
        <v>758</v>
      </c>
      <c r="C191" s="398"/>
      <c r="D191" s="397"/>
      <c r="E191" s="398"/>
      <c r="F191" s="399" t="s">
        <v>1183</v>
      </c>
      <c r="G191" s="403"/>
      <c r="H191" s="403"/>
      <c r="I191" s="400"/>
      <c r="J191" s="404" t="s">
        <v>1188</v>
      </c>
      <c r="K191" s="405"/>
      <c r="L191" s="405"/>
      <c r="M191" s="405"/>
      <c r="N191" s="405"/>
      <c r="O191" s="405"/>
      <c r="P191" s="405"/>
      <c r="Q191" s="405"/>
      <c r="R191" s="405"/>
      <c r="S191" s="405"/>
      <c r="T191" s="406"/>
      <c r="U191" s="277"/>
    </row>
    <row r="192" spans="2:21" s="3" customFormat="1" ht="49.15" customHeight="1" x14ac:dyDescent="0.2">
      <c r="B192" s="397" t="s">
        <v>729</v>
      </c>
      <c r="C192" s="398"/>
      <c r="D192" s="397"/>
      <c r="E192" s="398"/>
      <c r="F192" s="399" t="s">
        <v>1184</v>
      </c>
      <c r="G192" s="403"/>
      <c r="H192" s="403"/>
      <c r="I192" s="400"/>
      <c r="J192" s="404" t="s">
        <v>1185</v>
      </c>
      <c r="K192" s="405"/>
      <c r="L192" s="405"/>
      <c r="M192" s="405"/>
      <c r="N192" s="405"/>
      <c r="O192" s="405"/>
      <c r="P192" s="405"/>
      <c r="Q192" s="405"/>
      <c r="R192" s="405"/>
      <c r="S192" s="405"/>
      <c r="T192" s="406"/>
      <c r="U192" s="277"/>
    </row>
    <row r="193" spans="2:21" s="3" customFormat="1" ht="268.14999999999998" customHeight="1" x14ac:dyDescent="0.2">
      <c r="B193" s="397" t="s">
        <v>506</v>
      </c>
      <c r="C193" s="398"/>
      <c r="D193" s="397" t="s">
        <v>852</v>
      </c>
      <c r="E193" s="398"/>
      <c r="F193" s="399" t="s">
        <v>853</v>
      </c>
      <c r="G193" s="403"/>
      <c r="H193" s="403"/>
      <c r="I193" s="400"/>
      <c r="J193" s="404" t="s">
        <v>1186</v>
      </c>
      <c r="K193" s="405"/>
      <c r="L193" s="405"/>
      <c r="M193" s="405"/>
      <c r="N193" s="405"/>
      <c r="O193" s="405"/>
      <c r="P193" s="405"/>
      <c r="Q193" s="405"/>
      <c r="R193" s="405"/>
      <c r="S193" s="405"/>
      <c r="T193" s="406"/>
      <c r="U193" s="277"/>
    </row>
    <row r="194" spans="2:21" s="3" customFormat="1" ht="56.45" customHeight="1" x14ac:dyDescent="0.2">
      <c r="B194" s="397" t="s">
        <v>554</v>
      </c>
      <c r="C194" s="398"/>
      <c r="D194" s="397" t="s">
        <v>531</v>
      </c>
      <c r="E194" s="398"/>
      <c r="F194" s="397" t="s">
        <v>604</v>
      </c>
      <c r="G194" s="407"/>
      <c r="H194" s="407"/>
      <c r="I194" s="398"/>
      <c r="J194" s="404" t="s">
        <v>605</v>
      </c>
      <c r="K194" s="405"/>
      <c r="L194" s="405"/>
      <c r="M194" s="405"/>
      <c r="N194" s="405"/>
      <c r="O194" s="405"/>
      <c r="P194" s="405"/>
      <c r="Q194" s="405"/>
      <c r="R194" s="405"/>
      <c r="S194" s="405"/>
      <c r="T194" s="406"/>
      <c r="U194" s="277"/>
    </row>
    <row r="195" spans="2:21" s="3" customFormat="1" ht="79.150000000000006" customHeight="1" x14ac:dyDescent="0.2">
      <c r="B195" s="397" t="s">
        <v>531</v>
      </c>
      <c r="C195" s="398"/>
      <c r="D195" s="397" t="s">
        <v>523</v>
      </c>
      <c r="E195" s="398"/>
      <c r="F195" s="397" t="s">
        <v>594</v>
      </c>
      <c r="G195" s="407"/>
      <c r="H195" s="407"/>
      <c r="I195" s="398"/>
      <c r="J195" s="404" t="s">
        <v>1051</v>
      </c>
      <c r="K195" s="405"/>
      <c r="L195" s="405"/>
      <c r="M195" s="405"/>
      <c r="N195" s="405"/>
      <c r="O195" s="405"/>
      <c r="P195" s="405"/>
      <c r="Q195" s="405"/>
      <c r="R195" s="405"/>
      <c r="S195" s="405"/>
      <c r="T195" s="406"/>
      <c r="U195" s="277"/>
    </row>
    <row r="196" spans="2:21" s="3" customFormat="1" ht="115.9" customHeight="1" x14ac:dyDescent="0.2">
      <c r="B196" s="397" t="s">
        <v>739</v>
      </c>
      <c r="C196" s="398"/>
      <c r="D196" s="397" t="s">
        <v>507</v>
      </c>
      <c r="E196" s="398"/>
      <c r="F196" s="399" t="s">
        <v>555</v>
      </c>
      <c r="G196" s="403"/>
      <c r="H196" s="403"/>
      <c r="I196" s="400"/>
      <c r="J196" s="404" t="s">
        <v>1135</v>
      </c>
      <c r="K196" s="405"/>
      <c r="L196" s="405"/>
      <c r="M196" s="405"/>
      <c r="N196" s="405"/>
      <c r="O196" s="405"/>
      <c r="P196" s="405"/>
      <c r="Q196" s="405"/>
      <c r="R196" s="405"/>
      <c r="S196" s="405"/>
      <c r="T196" s="406"/>
      <c r="U196" s="277"/>
    </row>
    <row r="197" spans="2:21" s="3" customFormat="1" ht="75" customHeight="1" x14ac:dyDescent="0.2">
      <c r="B197" s="399"/>
      <c r="C197" s="400"/>
      <c r="D197" s="397"/>
      <c r="E197" s="398"/>
      <c r="F197" s="399" t="s">
        <v>1136</v>
      </c>
      <c r="G197" s="403"/>
      <c r="H197" s="403"/>
      <c r="I197" s="400"/>
      <c r="J197" s="404" t="s">
        <v>1112</v>
      </c>
      <c r="K197" s="405"/>
      <c r="L197" s="405"/>
      <c r="M197" s="405"/>
      <c r="N197" s="405"/>
      <c r="O197" s="405"/>
      <c r="P197" s="405"/>
      <c r="Q197" s="405"/>
      <c r="R197" s="405"/>
      <c r="S197" s="405"/>
      <c r="T197" s="406"/>
      <c r="U197" s="277"/>
    </row>
    <row r="198" spans="2:21" s="3" customFormat="1" ht="45.6" customHeight="1" x14ac:dyDescent="0.2">
      <c r="B198" s="399"/>
      <c r="C198" s="400"/>
      <c r="D198" s="397"/>
      <c r="E198" s="398"/>
      <c r="F198" s="397" t="s">
        <v>493</v>
      </c>
      <c r="G198" s="407"/>
      <c r="H198" s="407"/>
      <c r="I198" s="398"/>
      <c r="J198" s="404" t="s">
        <v>751</v>
      </c>
      <c r="K198" s="405"/>
      <c r="L198" s="405"/>
      <c r="M198" s="405"/>
      <c r="N198" s="405"/>
      <c r="O198" s="405"/>
      <c r="P198" s="405"/>
      <c r="Q198" s="405"/>
      <c r="R198" s="405"/>
      <c r="S198" s="405"/>
      <c r="T198" s="406"/>
      <c r="U198" s="277"/>
    </row>
    <row r="199" spans="2:21" s="3" customFormat="1" ht="41.65" customHeight="1" x14ac:dyDescent="0.2">
      <c r="B199" s="508" t="s">
        <v>84</v>
      </c>
      <c r="C199" s="393" t="s">
        <v>409</v>
      </c>
      <c r="D199" s="394"/>
      <c r="E199" s="394"/>
      <c r="F199" s="394"/>
      <c r="G199" s="394"/>
      <c r="H199" s="394"/>
      <c r="I199" s="394"/>
      <c r="J199" s="394"/>
      <c r="K199" s="394"/>
      <c r="L199" s="394"/>
      <c r="M199" s="394"/>
      <c r="N199" s="394"/>
      <c r="O199" s="394"/>
      <c r="P199" s="394"/>
      <c r="Q199" s="394"/>
      <c r="R199" s="394"/>
      <c r="S199" s="394"/>
      <c r="T199" s="395"/>
    </row>
    <row r="200" spans="2:21" s="3" customFormat="1" ht="22.5" customHeight="1" x14ac:dyDescent="0.2">
      <c r="B200" s="509"/>
      <c r="C200" s="413" t="s">
        <v>114</v>
      </c>
      <c r="D200" s="414"/>
      <c r="E200" s="414"/>
      <c r="F200" s="414"/>
      <c r="G200" s="414"/>
      <c r="H200" s="414"/>
      <c r="I200" s="414"/>
      <c r="J200" s="414"/>
      <c r="K200" s="414"/>
      <c r="L200" s="415"/>
      <c r="M200" s="413"/>
      <c r="N200" s="414"/>
      <c r="O200" s="414"/>
      <c r="P200" s="414"/>
      <c r="Q200" s="414"/>
      <c r="R200" s="414"/>
      <c r="S200" s="414"/>
      <c r="T200" s="415"/>
    </row>
    <row r="201" spans="2:21" s="3" customFormat="1" ht="22.5" customHeight="1" x14ac:dyDescent="0.2">
      <c r="B201" s="509"/>
      <c r="C201" s="396" t="s">
        <v>72</v>
      </c>
      <c r="D201" s="396"/>
      <c r="E201" s="396"/>
      <c r="F201" s="396" t="s">
        <v>348</v>
      </c>
      <c r="G201" s="396"/>
      <c r="H201" s="396" t="s">
        <v>62</v>
      </c>
      <c r="I201" s="396"/>
      <c r="J201" s="396" t="s">
        <v>85</v>
      </c>
      <c r="K201" s="396"/>
      <c r="L201" s="396"/>
      <c r="M201" s="481"/>
      <c r="N201" s="482"/>
      <c r="O201" s="482"/>
      <c r="P201" s="482"/>
      <c r="Q201" s="482"/>
      <c r="R201" s="482"/>
      <c r="S201" s="482"/>
      <c r="T201" s="483"/>
    </row>
    <row r="202" spans="2:21" s="3" customFormat="1" ht="22.5" customHeight="1" x14ac:dyDescent="0.2">
      <c r="B202" s="509"/>
      <c r="C202" s="490" t="s">
        <v>74</v>
      </c>
      <c r="D202" s="490"/>
      <c r="E202" s="490"/>
      <c r="F202" s="517">
        <f>+H205/100</f>
        <v>0.54139999999999999</v>
      </c>
      <c r="G202" s="517"/>
      <c r="H202" s="714">
        <v>0.65990000000000004</v>
      </c>
      <c r="I202" s="714"/>
      <c r="J202" s="473">
        <f>F202-H202</f>
        <v>-0.11850000000000005</v>
      </c>
      <c r="K202" s="473"/>
      <c r="L202" s="473"/>
      <c r="M202" s="484"/>
      <c r="N202" s="485"/>
      <c r="O202" s="485"/>
      <c r="P202" s="485"/>
      <c r="Q202" s="485"/>
      <c r="R202" s="485"/>
      <c r="S202" s="485"/>
      <c r="T202" s="486"/>
    </row>
    <row r="203" spans="2:21" s="3" customFormat="1" ht="22.5" customHeight="1" x14ac:dyDescent="0.2">
      <c r="B203" s="509"/>
      <c r="C203" s="61"/>
      <c r="D203" s="61"/>
      <c r="E203" s="61"/>
      <c r="F203" s="60"/>
      <c r="G203" s="60"/>
      <c r="H203" s="60"/>
      <c r="I203" s="60"/>
      <c r="J203" s="60"/>
      <c r="K203" s="60"/>
      <c r="L203" s="60"/>
      <c r="M203" s="484"/>
      <c r="N203" s="485"/>
      <c r="O203" s="485"/>
      <c r="P203" s="485"/>
      <c r="Q203" s="485"/>
      <c r="R203" s="485"/>
      <c r="S203" s="485"/>
      <c r="T203" s="486"/>
    </row>
    <row r="204" spans="2:21" s="3" customFormat="1" ht="27" customHeight="1" x14ac:dyDescent="0.2">
      <c r="B204" s="509"/>
      <c r="C204" s="396" t="s">
        <v>75</v>
      </c>
      <c r="D204" s="396"/>
      <c r="E204" s="381" t="s">
        <v>64</v>
      </c>
      <c r="F204" s="382"/>
      <c r="G204" s="63" t="s">
        <v>76</v>
      </c>
      <c r="H204" s="473" t="s">
        <v>77</v>
      </c>
      <c r="I204" s="473"/>
      <c r="J204" s="63" t="s">
        <v>78</v>
      </c>
      <c r="K204" s="473" t="s">
        <v>79</v>
      </c>
      <c r="L204" s="473"/>
      <c r="M204" s="484"/>
      <c r="N204" s="485"/>
      <c r="O204" s="485"/>
      <c r="P204" s="485"/>
      <c r="Q204" s="485"/>
      <c r="R204" s="485"/>
      <c r="S204" s="485"/>
      <c r="T204" s="486"/>
    </row>
    <row r="205" spans="2:21" s="3" customFormat="1" ht="30" customHeight="1" x14ac:dyDescent="0.2">
      <c r="B205" s="509"/>
      <c r="C205" s="480">
        <f>I148</f>
        <v>43044</v>
      </c>
      <c r="D205" s="480"/>
      <c r="E205" s="474">
        <f>J148</f>
        <v>44772</v>
      </c>
      <c r="F205" s="475"/>
      <c r="G205" s="17">
        <f>K148</f>
        <v>1728</v>
      </c>
      <c r="H205" s="416">
        <v>54.14</v>
      </c>
      <c r="I205" s="417"/>
      <c r="J205" s="417"/>
      <c r="K205" s="417"/>
      <c r="L205" s="418"/>
      <c r="M205" s="484"/>
      <c r="N205" s="485"/>
      <c r="O205" s="485"/>
      <c r="P205" s="485"/>
      <c r="Q205" s="485"/>
      <c r="R205" s="485"/>
      <c r="S205" s="485"/>
      <c r="T205" s="486"/>
    </row>
    <row r="206" spans="2:21" s="3" customFormat="1" ht="25.5" customHeight="1" x14ac:dyDescent="0.2">
      <c r="B206" s="509"/>
      <c r="C206" s="61"/>
      <c r="D206" s="62"/>
      <c r="E206" s="59"/>
      <c r="F206" s="17"/>
      <c r="G206" s="20"/>
      <c r="H206" s="20"/>
      <c r="I206" s="17"/>
      <c r="J206" s="19"/>
      <c r="K206" s="19"/>
      <c r="L206" s="60"/>
      <c r="M206" s="484"/>
      <c r="N206" s="485"/>
      <c r="O206" s="485"/>
      <c r="P206" s="485"/>
      <c r="Q206" s="485"/>
      <c r="R206" s="485"/>
      <c r="S206" s="485"/>
      <c r="T206" s="486"/>
    </row>
    <row r="207" spans="2:21" s="3" customFormat="1" ht="19.5" customHeight="1" x14ac:dyDescent="0.2">
      <c r="B207" s="509"/>
      <c r="C207" s="413" t="s">
        <v>80</v>
      </c>
      <c r="D207" s="414"/>
      <c r="E207" s="414"/>
      <c r="F207" s="414"/>
      <c r="G207" s="414"/>
      <c r="H207" s="414"/>
      <c r="I207" s="414"/>
      <c r="J207" s="414"/>
      <c r="K207" s="414"/>
      <c r="L207" s="415"/>
      <c r="M207" s="487"/>
      <c r="N207" s="488"/>
      <c r="O207" s="488"/>
      <c r="P207" s="488"/>
      <c r="Q207" s="488"/>
      <c r="R207" s="488"/>
      <c r="S207" s="488"/>
      <c r="T207" s="489"/>
    </row>
    <row r="208" spans="2:21" s="3" customFormat="1" ht="22.5" customHeight="1" x14ac:dyDescent="0.2">
      <c r="B208" s="509"/>
      <c r="C208" s="477" t="s">
        <v>81</v>
      </c>
      <c r="D208" s="478"/>
      <c r="E208" s="478"/>
      <c r="F208" s="479"/>
      <c r="G208" s="721" t="s">
        <v>494</v>
      </c>
      <c r="H208" s="721"/>
      <c r="I208" s="721"/>
      <c r="J208" s="721"/>
      <c r="K208" s="721" t="s">
        <v>82</v>
      </c>
      <c r="L208" s="721"/>
      <c r="M208" s="721"/>
      <c r="N208" s="721"/>
      <c r="O208" s="721"/>
      <c r="P208" s="721"/>
      <c r="Q208" s="721"/>
      <c r="R208" s="721"/>
      <c r="S208" s="721"/>
      <c r="T208" s="721"/>
    </row>
    <row r="209" spans="2:21" ht="35.25" customHeight="1" x14ac:dyDescent="0.2">
      <c r="B209" s="509"/>
      <c r="C209" s="562" t="s">
        <v>83</v>
      </c>
      <c r="D209" s="562"/>
      <c r="E209" s="477" t="s">
        <v>349</v>
      </c>
      <c r="F209" s="479"/>
      <c r="G209" s="721"/>
      <c r="H209" s="721"/>
      <c r="I209" s="721"/>
      <c r="J209" s="721"/>
      <c r="K209" s="721"/>
      <c r="L209" s="721"/>
      <c r="M209" s="721"/>
      <c r="N209" s="721"/>
      <c r="O209" s="721"/>
      <c r="P209" s="721"/>
      <c r="Q209" s="721"/>
      <c r="R209" s="721"/>
      <c r="S209" s="721"/>
      <c r="T209" s="721"/>
    </row>
    <row r="210" spans="2:21" ht="86.45" customHeight="1" x14ac:dyDescent="0.2">
      <c r="B210" s="509"/>
      <c r="C210" s="401" t="s">
        <v>1068</v>
      </c>
      <c r="D210" s="402"/>
      <c r="E210" s="401"/>
      <c r="F210" s="402"/>
      <c r="G210" s="399" t="s">
        <v>1069</v>
      </c>
      <c r="H210" s="403"/>
      <c r="I210" s="403"/>
      <c r="J210" s="400"/>
      <c r="K210" s="404" t="s">
        <v>1189</v>
      </c>
      <c r="L210" s="405"/>
      <c r="M210" s="405"/>
      <c r="N210" s="405"/>
      <c r="O210" s="405"/>
      <c r="P210" s="405"/>
      <c r="Q210" s="405"/>
      <c r="R210" s="405"/>
      <c r="S210" s="405"/>
      <c r="T210" s="406"/>
      <c r="U210" s="278"/>
    </row>
    <row r="211" spans="2:21" ht="75" customHeight="1" x14ac:dyDescent="0.2">
      <c r="B211" s="509"/>
      <c r="C211" s="401" t="s">
        <v>1070</v>
      </c>
      <c r="D211" s="402"/>
      <c r="E211" s="401"/>
      <c r="F211" s="402"/>
      <c r="G211" s="399" t="s">
        <v>1071</v>
      </c>
      <c r="H211" s="403"/>
      <c r="I211" s="403"/>
      <c r="J211" s="400"/>
      <c r="K211" s="404" t="s">
        <v>1190</v>
      </c>
      <c r="L211" s="405"/>
      <c r="M211" s="405"/>
      <c r="N211" s="405"/>
      <c r="O211" s="405"/>
      <c r="P211" s="405"/>
      <c r="Q211" s="405"/>
      <c r="R211" s="405"/>
      <c r="S211" s="405"/>
      <c r="T211" s="406"/>
      <c r="U211" s="278"/>
    </row>
    <row r="212" spans="2:21" ht="117" customHeight="1" x14ac:dyDescent="0.2">
      <c r="B212" s="509"/>
      <c r="C212" s="401" t="s">
        <v>1072</v>
      </c>
      <c r="D212" s="402"/>
      <c r="E212" s="401"/>
      <c r="F212" s="402"/>
      <c r="G212" s="399" t="s">
        <v>1073</v>
      </c>
      <c r="H212" s="403"/>
      <c r="I212" s="403"/>
      <c r="J212" s="400"/>
      <c r="K212" s="404" t="s">
        <v>1191</v>
      </c>
      <c r="L212" s="405"/>
      <c r="M212" s="405"/>
      <c r="N212" s="405"/>
      <c r="O212" s="405"/>
      <c r="P212" s="405"/>
      <c r="Q212" s="405"/>
      <c r="R212" s="405"/>
      <c r="S212" s="405"/>
      <c r="T212" s="406"/>
      <c r="U212" s="278"/>
    </row>
    <row r="213" spans="2:21" ht="157.9" customHeight="1" x14ac:dyDescent="0.2">
      <c r="B213" s="509"/>
      <c r="C213" s="401" t="s">
        <v>1074</v>
      </c>
      <c r="D213" s="402"/>
      <c r="E213" s="401" t="s">
        <v>1075</v>
      </c>
      <c r="F213" s="402"/>
      <c r="G213" s="399" t="s">
        <v>1192</v>
      </c>
      <c r="H213" s="403"/>
      <c r="I213" s="403"/>
      <c r="J213" s="400"/>
      <c r="K213" s="404" t="s">
        <v>1205</v>
      </c>
      <c r="L213" s="405"/>
      <c r="M213" s="405"/>
      <c r="N213" s="405"/>
      <c r="O213" s="405"/>
      <c r="P213" s="405"/>
      <c r="Q213" s="405"/>
      <c r="R213" s="405"/>
      <c r="S213" s="405"/>
      <c r="T213" s="406"/>
      <c r="U213" s="278"/>
    </row>
    <row r="214" spans="2:21" ht="145.15" customHeight="1" x14ac:dyDescent="0.2">
      <c r="B214" s="509"/>
      <c r="C214" s="401" t="s">
        <v>1076</v>
      </c>
      <c r="D214" s="402"/>
      <c r="E214" s="401"/>
      <c r="F214" s="402"/>
      <c r="G214" s="399" t="s">
        <v>1139</v>
      </c>
      <c r="H214" s="403"/>
      <c r="I214" s="403"/>
      <c r="J214" s="400"/>
      <c r="K214" s="404" t="s">
        <v>1206</v>
      </c>
      <c r="L214" s="405"/>
      <c r="M214" s="405"/>
      <c r="N214" s="405"/>
      <c r="O214" s="405"/>
      <c r="P214" s="405"/>
      <c r="Q214" s="405"/>
      <c r="R214" s="405"/>
      <c r="S214" s="405"/>
      <c r="T214" s="406"/>
      <c r="U214" s="278"/>
    </row>
    <row r="215" spans="2:21" s="3" customFormat="1" ht="140.44999999999999" customHeight="1" x14ac:dyDescent="0.2">
      <c r="B215" s="509"/>
      <c r="C215" s="401" t="s">
        <v>1077</v>
      </c>
      <c r="D215" s="402"/>
      <c r="E215" s="401"/>
      <c r="F215" s="402"/>
      <c r="G215" s="399" t="s">
        <v>1078</v>
      </c>
      <c r="H215" s="403"/>
      <c r="I215" s="403"/>
      <c r="J215" s="400"/>
      <c r="K215" s="404" t="s">
        <v>1193</v>
      </c>
      <c r="L215" s="405"/>
      <c r="M215" s="405"/>
      <c r="N215" s="405"/>
      <c r="O215" s="405"/>
      <c r="P215" s="405"/>
      <c r="Q215" s="405"/>
      <c r="R215" s="405"/>
      <c r="S215" s="405"/>
      <c r="T215" s="406"/>
      <c r="U215" s="277"/>
    </row>
    <row r="216" spans="2:21" s="3" customFormat="1" ht="132.6" customHeight="1" x14ac:dyDescent="0.2">
      <c r="B216" s="509"/>
      <c r="C216" s="401" t="s">
        <v>1079</v>
      </c>
      <c r="D216" s="402"/>
      <c r="E216" s="401"/>
      <c r="F216" s="402"/>
      <c r="G216" s="399" t="s">
        <v>1080</v>
      </c>
      <c r="H216" s="403"/>
      <c r="I216" s="403"/>
      <c r="J216" s="400"/>
      <c r="K216" s="404" t="s">
        <v>1194</v>
      </c>
      <c r="L216" s="405"/>
      <c r="M216" s="405"/>
      <c r="N216" s="405"/>
      <c r="O216" s="405"/>
      <c r="P216" s="405"/>
      <c r="Q216" s="405"/>
      <c r="R216" s="405"/>
      <c r="S216" s="405"/>
      <c r="T216" s="406"/>
      <c r="U216" s="277"/>
    </row>
    <row r="217" spans="2:21" s="3" customFormat="1" ht="67.900000000000006" customHeight="1" x14ac:dyDescent="0.2">
      <c r="B217" s="509"/>
      <c r="C217" s="401" t="s">
        <v>1081</v>
      </c>
      <c r="D217" s="402"/>
      <c r="E217" s="401" t="s">
        <v>768</v>
      </c>
      <c r="F217" s="402"/>
      <c r="G217" s="399" t="s">
        <v>1082</v>
      </c>
      <c r="H217" s="403"/>
      <c r="I217" s="403"/>
      <c r="J217" s="400"/>
      <c r="K217" s="404" t="s">
        <v>987</v>
      </c>
      <c r="L217" s="405"/>
      <c r="M217" s="405"/>
      <c r="N217" s="405"/>
      <c r="O217" s="405"/>
      <c r="P217" s="405"/>
      <c r="Q217" s="405"/>
      <c r="R217" s="405"/>
      <c r="S217" s="405"/>
      <c r="T217" s="406"/>
      <c r="U217" s="277"/>
    </row>
    <row r="218" spans="2:21" s="3" customFormat="1" ht="304.89999999999998" customHeight="1" x14ac:dyDescent="0.2">
      <c r="B218" s="509"/>
      <c r="C218" s="401" t="s">
        <v>606</v>
      </c>
      <c r="D218" s="402"/>
      <c r="E218" s="401" t="s">
        <v>742</v>
      </c>
      <c r="F218" s="402"/>
      <c r="G218" s="399" t="s">
        <v>1114</v>
      </c>
      <c r="H218" s="403"/>
      <c r="I218" s="403"/>
      <c r="J218" s="400"/>
      <c r="K218" s="404" t="s">
        <v>1195</v>
      </c>
      <c r="L218" s="405"/>
      <c r="M218" s="405"/>
      <c r="N218" s="405"/>
      <c r="O218" s="405"/>
      <c r="P218" s="405"/>
      <c r="Q218" s="405"/>
      <c r="R218" s="405"/>
      <c r="S218" s="405"/>
      <c r="T218" s="406"/>
      <c r="U218" s="277"/>
    </row>
    <row r="219" spans="2:21" s="3" customFormat="1" ht="112.15" customHeight="1" x14ac:dyDescent="0.2">
      <c r="B219" s="509"/>
      <c r="C219" s="401" t="s">
        <v>1083</v>
      </c>
      <c r="D219" s="402"/>
      <c r="E219" s="401"/>
      <c r="F219" s="402"/>
      <c r="G219" s="399" t="s">
        <v>1084</v>
      </c>
      <c r="H219" s="403"/>
      <c r="I219" s="403"/>
      <c r="J219" s="400"/>
      <c r="K219" s="404" t="s">
        <v>1017</v>
      </c>
      <c r="L219" s="405"/>
      <c r="M219" s="405"/>
      <c r="N219" s="405"/>
      <c r="O219" s="405"/>
      <c r="P219" s="405"/>
      <c r="Q219" s="405"/>
      <c r="R219" s="405"/>
      <c r="S219" s="405"/>
      <c r="T219" s="406"/>
      <c r="U219" s="277"/>
    </row>
    <row r="220" spans="2:21" s="3" customFormat="1" ht="100.9" customHeight="1" x14ac:dyDescent="0.2">
      <c r="B220" s="509"/>
      <c r="C220" s="401" t="s">
        <v>1085</v>
      </c>
      <c r="D220" s="402"/>
      <c r="E220" s="401"/>
      <c r="F220" s="402"/>
      <c r="G220" s="399" t="s">
        <v>1086</v>
      </c>
      <c r="H220" s="403"/>
      <c r="I220" s="403"/>
      <c r="J220" s="400"/>
      <c r="K220" s="404" t="s">
        <v>1018</v>
      </c>
      <c r="L220" s="405"/>
      <c r="M220" s="405"/>
      <c r="N220" s="405"/>
      <c r="O220" s="405"/>
      <c r="P220" s="405"/>
      <c r="Q220" s="405"/>
      <c r="R220" s="405"/>
      <c r="S220" s="405"/>
      <c r="T220" s="406"/>
      <c r="U220" s="277"/>
    </row>
    <row r="221" spans="2:21" s="3" customFormat="1" ht="201.6" customHeight="1" x14ac:dyDescent="0.2">
      <c r="B221" s="98"/>
      <c r="C221" s="401" t="s">
        <v>508</v>
      </c>
      <c r="D221" s="402"/>
      <c r="E221" s="401" t="s">
        <v>764</v>
      </c>
      <c r="F221" s="402"/>
      <c r="G221" s="399" t="s">
        <v>988</v>
      </c>
      <c r="H221" s="403"/>
      <c r="I221" s="403"/>
      <c r="J221" s="400"/>
      <c r="K221" s="404" t="s">
        <v>1140</v>
      </c>
      <c r="L221" s="405"/>
      <c r="M221" s="405"/>
      <c r="N221" s="405"/>
      <c r="O221" s="405"/>
      <c r="P221" s="405"/>
      <c r="Q221" s="405"/>
      <c r="R221" s="405"/>
      <c r="S221" s="405"/>
      <c r="T221" s="406"/>
      <c r="U221" s="277"/>
    </row>
    <row r="222" spans="2:21" s="3" customFormat="1" ht="72" customHeight="1" x14ac:dyDescent="0.2">
      <c r="B222" s="98"/>
      <c r="C222" s="401" t="s">
        <v>495</v>
      </c>
      <c r="D222" s="402"/>
      <c r="E222" s="401"/>
      <c r="F222" s="402"/>
      <c r="G222" s="437" t="s">
        <v>741</v>
      </c>
      <c r="H222" s="437"/>
      <c r="I222" s="437"/>
      <c r="J222" s="437"/>
      <c r="K222" s="404" t="s">
        <v>1141</v>
      </c>
      <c r="L222" s="405"/>
      <c r="M222" s="405"/>
      <c r="N222" s="405"/>
      <c r="O222" s="405"/>
      <c r="P222" s="405"/>
      <c r="Q222" s="405"/>
      <c r="R222" s="405"/>
      <c r="S222" s="405"/>
      <c r="T222" s="406"/>
      <c r="U222" s="277"/>
    </row>
    <row r="223" spans="2:21" s="3" customFormat="1" ht="46.9" customHeight="1" x14ac:dyDescent="0.2">
      <c r="B223" s="98"/>
      <c r="C223" s="401" t="s">
        <v>514</v>
      </c>
      <c r="D223" s="402"/>
      <c r="E223" s="401"/>
      <c r="F223" s="402"/>
      <c r="G223" s="437" t="s">
        <v>743</v>
      </c>
      <c r="H223" s="437"/>
      <c r="I223" s="437"/>
      <c r="J223" s="437"/>
      <c r="K223" s="472" t="s">
        <v>1196</v>
      </c>
      <c r="L223" s="472"/>
      <c r="M223" s="472"/>
      <c r="N223" s="472"/>
      <c r="O223" s="472"/>
      <c r="P223" s="472"/>
      <c r="Q223" s="472"/>
      <c r="R223" s="472"/>
      <c r="S223" s="472"/>
      <c r="T223" s="472"/>
      <c r="U223" s="277"/>
    </row>
    <row r="224" spans="2:21" s="3" customFormat="1" ht="57.6" customHeight="1" x14ac:dyDescent="0.2">
      <c r="B224" s="112"/>
      <c r="C224" s="401" t="s">
        <v>1087</v>
      </c>
      <c r="D224" s="402"/>
      <c r="E224" s="401"/>
      <c r="F224" s="402"/>
      <c r="G224" s="437" t="s">
        <v>1088</v>
      </c>
      <c r="H224" s="437"/>
      <c r="I224" s="437"/>
      <c r="J224" s="437"/>
      <c r="K224" s="404" t="s">
        <v>989</v>
      </c>
      <c r="L224" s="405"/>
      <c r="M224" s="405"/>
      <c r="N224" s="405"/>
      <c r="O224" s="405"/>
      <c r="P224" s="405"/>
      <c r="Q224" s="405"/>
      <c r="R224" s="405"/>
      <c r="S224" s="405"/>
      <c r="T224" s="406"/>
      <c r="U224" s="277"/>
    </row>
    <row r="225" spans="2:21" s="3" customFormat="1" ht="114" customHeight="1" x14ac:dyDescent="0.2">
      <c r="B225" s="112"/>
      <c r="C225" s="401" t="s">
        <v>1089</v>
      </c>
      <c r="D225" s="402"/>
      <c r="E225" s="401"/>
      <c r="F225" s="402"/>
      <c r="G225" s="437" t="s">
        <v>1090</v>
      </c>
      <c r="H225" s="437"/>
      <c r="I225" s="437"/>
      <c r="J225" s="437"/>
      <c r="K225" s="404" t="s">
        <v>1052</v>
      </c>
      <c r="L225" s="405"/>
      <c r="M225" s="405"/>
      <c r="N225" s="405"/>
      <c r="O225" s="405"/>
      <c r="P225" s="405"/>
      <c r="Q225" s="405"/>
      <c r="R225" s="405"/>
      <c r="S225" s="405"/>
      <c r="T225" s="406"/>
      <c r="U225" s="277"/>
    </row>
    <row r="226" spans="2:21" s="3" customFormat="1" ht="129.6" customHeight="1" x14ac:dyDescent="0.2">
      <c r="B226" s="113"/>
      <c r="C226" s="401" t="s">
        <v>765</v>
      </c>
      <c r="D226" s="402"/>
      <c r="E226" s="401"/>
      <c r="F226" s="402"/>
      <c r="G226" s="437" t="s">
        <v>1031</v>
      </c>
      <c r="H226" s="437"/>
      <c r="I226" s="437"/>
      <c r="J226" s="437"/>
      <c r="K226" s="404" t="s">
        <v>1115</v>
      </c>
      <c r="L226" s="405"/>
      <c r="M226" s="405"/>
      <c r="N226" s="405"/>
      <c r="O226" s="405"/>
      <c r="P226" s="405"/>
      <c r="Q226" s="405"/>
      <c r="R226" s="405"/>
      <c r="S226" s="405"/>
      <c r="T226" s="406"/>
      <c r="U226" s="277"/>
    </row>
    <row r="227" spans="2:21" s="3" customFormat="1" ht="71.45" customHeight="1" x14ac:dyDescent="0.2">
      <c r="B227" s="113"/>
      <c r="C227" s="401" t="s">
        <v>595</v>
      </c>
      <c r="D227" s="402"/>
      <c r="E227" s="401"/>
      <c r="F227" s="402"/>
      <c r="G227" s="399" t="s">
        <v>596</v>
      </c>
      <c r="H227" s="403"/>
      <c r="I227" s="403"/>
      <c r="J227" s="400"/>
      <c r="K227" s="404" t="s">
        <v>1022</v>
      </c>
      <c r="L227" s="405"/>
      <c r="M227" s="405"/>
      <c r="N227" s="405"/>
      <c r="O227" s="405"/>
      <c r="P227" s="405"/>
      <c r="Q227" s="405"/>
      <c r="R227" s="405"/>
      <c r="S227" s="405"/>
      <c r="T227" s="406"/>
      <c r="U227" s="277"/>
    </row>
    <row r="228" spans="2:21" s="3" customFormat="1" ht="130.9" customHeight="1" x14ac:dyDescent="0.2">
      <c r="B228" s="114"/>
      <c r="C228" s="401" t="s">
        <v>1091</v>
      </c>
      <c r="D228" s="402"/>
      <c r="E228" s="401"/>
      <c r="F228" s="402"/>
      <c r="G228" s="399" t="s">
        <v>1197</v>
      </c>
      <c r="H228" s="403"/>
      <c r="I228" s="403"/>
      <c r="J228" s="400"/>
      <c r="K228" s="476" t="s">
        <v>1198</v>
      </c>
      <c r="L228" s="405"/>
      <c r="M228" s="405"/>
      <c r="N228" s="405"/>
      <c r="O228" s="405"/>
      <c r="P228" s="405"/>
      <c r="Q228" s="405"/>
      <c r="R228" s="405"/>
      <c r="S228" s="405"/>
      <c r="T228" s="406"/>
      <c r="U228" s="277"/>
    </row>
    <row r="229" spans="2:21" s="3" customFormat="1" ht="100.15" customHeight="1" x14ac:dyDescent="0.2">
      <c r="B229" s="114"/>
      <c r="C229" s="401" t="s">
        <v>1092</v>
      </c>
      <c r="D229" s="402"/>
      <c r="E229" s="401"/>
      <c r="F229" s="402"/>
      <c r="G229" s="399" t="s">
        <v>1093</v>
      </c>
      <c r="H229" s="403"/>
      <c r="I229" s="403"/>
      <c r="J229" s="400"/>
      <c r="K229" s="476" t="s">
        <v>1199</v>
      </c>
      <c r="L229" s="405"/>
      <c r="M229" s="405"/>
      <c r="N229" s="405"/>
      <c r="O229" s="405"/>
      <c r="P229" s="405"/>
      <c r="Q229" s="405"/>
      <c r="R229" s="405"/>
      <c r="S229" s="405"/>
      <c r="T229" s="406"/>
      <c r="U229" s="277"/>
    </row>
    <row r="230" spans="2:21" s="3" customFormat="1" ht="43.9" customHeight="1" x14ac:dyDescent="0.2">
      <c r="B230" s="114"/>
      <c r="C230" s="401" t="s">
        <v>1094</v>
      </c>
      <c r="D230" s="402"/>
      <c r="E230" s="401"/>
      <c r="F230" s="402"/>
      <c r="G230" s="399" t="s">
        <v>1095</v>
      </c>
      <c r="H230" s="403"/>
      <c r="I230" s="403"/>
      <c r="J230" s="400"/>
      <c r="K230" s="476" t="s">
        <v>769</v>
      </c>
      <c r="L230" s="405"/>
      <c r="M230" s="405"/>
      <c r="N230" s="405"/>
      <c r="O230" s="405"/>
      <c r="P230" s="405"/>
      <c r="Q230" s="405"/>
      <c r="R230" s="405"/>
      <c r="S230" s="405"/>
      <c r="T230" s="406"/>
      <c r="U230" s="277"/>
    </row>
    <row r="231" spans="2:21" s="3" customFormat="1" ht="113.45" customHeight="1" x14ac:dyDescent="0.2">
      <c r="B231" s="113"/>
      <c r="C231" s="401" t="s">
        <v>1053</v>
      </c>
      <c r="D231" s="402"/>
      <c r="E231" s="401"/>
      <c r="F231" s="402"/>
      <c r="G231" s="399" t="s">
        <v>1096</v>
      </c>
      <c r="H231" s="403"/>
      <c r="I231" s="403"/>
      <c r="J231" s="400"/>
      <c r="K231" s="404" t="s">
        <v>1200</v>
      </c>
      <c r="L231" s="405"/>
      <c r="M231" s="405"/>
      <c r="N231" s="405"/>
      <c r="O231" s="405"/>
      <c r="P231" s="405"/>
      <c r="Q231" s="405"/>
      <c r="R231" s="405"/>
      <c r="S231" s="405"/>
      <c r="T231" s="406"/>
      <c r="U231" s="277"/>
    </row>
    <row r="232" spans="2:21" s="3" customFormat="1" ht="48.6" customHeight="1" x14ac:dyDescent="0.2">
      <c r="B232" s="124"/>
      <c r="C232" s="401" t="s">
        <v>1097</v>
      </c>
      <c r="D232" s="402"/>
      <c r="E232" s="401" t="s">
        <v>1098</v>
      </c>
      <c r="F232" s="402"/>
      <c r="G232" s="399" t="s">
        <v>1099</v>
      </c>
      <c r="H232" s="403"/>
      <c r="I232" s="403"/>
      <c r="J232" s="400"/>
      <c r="K232" s="404" t="s">
        <v>1201</v>
      </c>
      <c r="L232" s="405"/>
      <c r="M232" s="405"/>
      <c r="N232" s="405"/>
      <c r="O232" s="405"/>
      <c r="P232" s="405"/>
      <c r="Q232" s="405"/>
      <c r="R232" s="405"/>
      <c r="S232" s="405"/>
      <c r="T232" s="406"/>
      <c r="U232" s="277"/>
    </row>
    <row r="233" spans="2:21" s="3" customFormat="1" ht="54" customHeight="1" x14ac:dyDescent="0.2">
      <c r="B233" s="124"/>
      <c r="C233" s="401" t="s">
        <v>1100</v>
      </c>
      <c r="D233" s="402"/>
      <c r="E233" s="401"/>
      <c r="F233" s="402"/>
      <c r="G233" s="399" t="s">
        <v>1101</v>
      </c>
      <c r="H233" s="403"/>
      <c r="I233" s="403"/>
      <c r="J233" s="400"/>
      <c r="K233" s="404" t="s">
        <v>1116</v>
      </c>
      <c r="L233" s="405"/>
      <c r="M233" s="405"/>
      <c r="N233" s="405"/>
      <c r="O233" s="405"/>
      <c r="P233" s="405"/>
      <c r="Q233" s="405"/>
      <c r="R233" s="405"/>
      <c r="S233" s="405"/>
      <c r="T233" s="406"/>
      <c r="U233" s="277"/>
    </row>
    <row r="234" spans="2:21" s="3" customFormat="1" ht="73.150000000000006" customHeight="1" x14ac:dyDescent="0.2">
      <c r="B234" s="125"/>
      <c r="C234" s="401" t="s">
        <v>1102</v>
      </c>
      <c r="D234" s="402"/>
      <c r="E234" s="401" t="s">
        <v>1103</v>
      </c>
      <c r="F234" s="402"/>
      <c r="G234" s="399" t="s">
        <v>1104</v>
      </c>
      <c r="H234" s="403"/>
      <c r="I234" s="403"/>
      <c r="J234" s="400"/>
      <c r="K234" s="404" t="s">
        <v>990</v>
      </c>
      <c r="L234" s="405"/>
      <c r="M234" s="405"/>
      <c r="N234" s="405"/>
      <c r="O234" s="405"/>
      <c r="P234" s="405"/>
      <c r="Q234" s="405"/>
      <c r="R234" s="405"/>
      <c r="S234" s="405"/>
      <c r="T234" s="406"/>
      <c r="U234" s="277"/>
    </row>
    <row r="235" spans="2:21" s="3" customFormat="1" ht="283.14999999999998" customHeight="1" x14ac:dyDescent="0.2">
      <c r="B235" s="135"/>
      <c r="C235" s="401" t="s">
        <v>730</v>
      </c>
      <c r="D235" s="402"/>
      <c r="E235" s="401" t="s">
        <v>774</v>
      </c>
      <c r="F235" s="402"/>
      <c r="G235" s="399" t="s">
        <v>1105</v>
      </c>
      <c r="H235" s="403"/>
      <c r="I235" s="403"/>
      <c r="J235" s="400"/>
      <c r="K235" s="404" t="s">
        <v>1202</v>
      </c>
      <c r="L235" s="405"/>
      <c r="M235" s="405"/>
      <c r="N235" s="405"/>
      <c r="O235" s="405"/>
      <c r="P235" s="405"/>
      <c r="Q235" s="405"/>
      <c r="R235" s="405"/>
      <c r="S235" s="405"/>
      <c r="T235" s="406"/>
      <c r="U235" s="277"/>
    </row>
    <row r="236" spans="2:21" s="3" customFormat="1" ht="83.45" customHeight="1" x14ac:dyDescent="0.2">
      <c r="B236" s="291"/>
      <c r="C236" s="401" t="s">
        <v>1054</v>
      </c>
      <c r="D236" s="402"/>
      <c r="E236" s="401"/>
      <c r="F236" s="402"/>
      <c r="G236" s="399" t="s">
        <v>1055</v>
      </c>
      <c r="H236" s="403"/>
      <c r="I236" s="403"/>
      <c r="J236" s="400"/>
      <c r="K236" s="404" t="s">
        <v>1203</v>
      </c>
      <c r="L236" s="405"/>
      <c r="M236" s="405"/>
      <c r="N236" s="405"/>
      <c r="O236" s="405"/>
      <c r="P236" s="405"/>
      <c r="Q236" s="405"/>
      <c r="R236" s="405"/>
      <c r="S236" s="405"/>
      <c r="T236" s="406"/>
      <c r="U236" s="277"/>
    </row>
    <row r="237" spans="2:21" s="3" customFormat="1" ht="169.9" customHeight="1" x14ac:dyDescent="0.2">
      <c r="B237" s="335"/>
      <c r="C237" s="401" t="s">
        <v>991</v>
      </c>
      <c r="D237" s="402"/>
      <c r="E237" s="401"/>
      <c r="F237" s="402"/>
      <c r="G237" s="399" t="s">
        <v>1142</v>
      </c>
      <c r="H237" s="403"/>
      <c r="I237" s="403"/>
      <c r="J237" s="400"/>
      <c r="K237" s="404" t="s">
        <v>1204</v>
      </c>
      <c r="L237" s="405"/>
      <c r="M237" s="405"/>
      <c r="N237" s="405"/>
      <c r="O237" s="405"/>
      <c r="P237" s="405"/>
      <c r="Q237" s="405"/>
      <c r="R237" s="405"/>
      <c r="S237" s="405"/>
      <c r="T237" s="406"/>
      <c r="U237" s="277"/>
    </row>
    <row r="238" spans="2:21" s="3" customFormat="1" ht="55.15" customHeight="1" x14ac:dyDescent="0.2">
      <c r="B238" s="335"/>
      <c r="C238" s="401" t="s">
        <v>731</v>
      </c>
      <c r="D238" s="402"/>
      <c r="E238" s="401"/>
      <c r="F238" s="402"/>
      <c r="G238" s="399" t="s">
        <v>732</v>
      </c>
      <c r="H238" s="403"/>
      <c r="I238" s="403"/>
      <c r="J238" s="400"/>
      <c r="K238" s="404" t="s">
        <v>1106</v>
      </c>
      <c r="L238" s="405"/>
      <c r="M238" s="405"/>
      <c r="N238" s="405"/>
      <c r="O238" s="405"/>
      <c r="P238" s="405"/>
      <c r="Q238" s="405"/>
      <c r="R238" s="405"/>
      <c r="S238" s="405"/>
      <c r="T238" s="406"/>
      <c r="U238" s="277"/>
    </row>
    <row r="239" spans="2:21" s="3" customFormat="1" ht="37.9" customHeight="1" x14ac:dyDescent="0.2">
      <c r="B239" s="291"/>
      <c r="C239" s="401"/>
      <c r="D239" s="402"/>
      <c r="E239" s="401"/>
      <c r="F239" s="402"/>
      <c r="G239" s="399" t="s">
        <v>740</v>
      </c>
      <c r="H239" s="403"/>
      <c r="I239" s="403"/>
      <c r="J239" s="400"/>
      <c r="K239" s="404" t="s">
        <v>1019</v>
      </c>
      <c r="L239" s="405"/>
      <c r="M239" s="405"/>
      <c r="N239" s="405"/>
      <c r="O239" s="405"/>
      <c r="P239" s="405"/>
      <c r="Q239" s="405"/>
      <c r="R239" s="405"/>
      <c r="S239" s="405"/>
      <c r="T239" s="406"/>
      <c r="U239" s="277"/>
    </row>
    <row r="240" spans="2:21" s="3" customFormat="1" ht="43.15" customHeight="1" x14ac:dyDescent="0.2">
      <c r="B240" s="113"/>
      <c r="C240" s="401"/>
      <c r="D240" s="402"/>
      <c r="E240" s="401"/>
      <c r="F240" s="402"/>
      <c r="G240" s="397" t="s">
        <v>493</v>
      </c>
      <c r="H240" s="407"/>
      <c r="I240" s="407"/>
      <c r="J240" s="398"/>
      <c r="K240" s="404" t="s">
        <v>751</v>
      </c>
      <c r="L240" s="405"/>
      <c r="M240" s="405"/>
      <c r="N240" s="405"/>
      <c r="O240" s="405"/>
      <c r="P240" s="405"/>
      <c r="Q240" s="405"/>
      <c r="R240" s="405"/>
      <c r="S240" s="405"/>
      <c r="T240" s="406"/>
      <c r="U240" s="277"/>
    </row>
    <row r="241" spans="2:22" s="22" customFormat="1" x14ac:dyDescent="0.2">
      <c r="B241" s="492"/>
      <c r="C241" s="493"/>
      <c r="D241" s="493"/>
      <c r="E241" s="493"/>
      <c r="F241" s="493"/>
      <c r="G241" s="493"/>
      <c r="H241" s="493"/>
      <c r="I241" s="493"/>
      <c r="J241" s="493"/>
      <c r="K241" s="493"/>
      <c r="L241" s="493"/>
      <c r="M241" s="493"/>
      <c r="N241" s="493"/>
      <c r="O241" s="493"/>
      <c r="P241" s="493"/>
      <c r="Q241" s="493"/>
      <c r="R241" s="493"/>
      <c r="S241" s="493"/>
      <c r="T241" s="494"/>
    </row>
    <row r="242" spans="2:22" s="22" customFormat="1" ht="30.4" customHeight="1" x14ac:dyDescent="0.2">
      <c r="B242" s="616" t="s">
        <v>86</v>
      </c>
      <c r="C242" s="729" t="s">
        <v>405</v>
      </c>
      <c r="D242" s="730"/>
      <c r="E242" s="730"/>
      <c r="F242" s="730"/>
      <c r="G242" s="730"/>
      <c r="H242" s="730"/>
      <c r="I242" s="730"/>
      <c r="J242" s="730"/>
      <c r="K242" s="730"/>
      <c r="L242" s="730"/>
      <c r="M242" s="730"/>
      <c r="N242" s="730"/>
      <c r="O242" s="730"/>
      <c r="P242" s="730"/>
      <c r="Q242" s="730"/>
      <c r="R242" s="730"/>
      <c r="S242" s="730"/>
      <c r="T242" s="731"/>
    </row>
    <row r="243" spans="2:22" s="3" customFormat="1" ht="14.1" customHeight="1" x14ac:dyDescent="0.2">
      <c r="B243" s="617"/>
      <c r="C243" s="413" t="s">
        <v>114</v>
      </c>
      <c r="D243" s="414"/>
      <c r="E243" s="414"/>
      <c r="F243" s="414"/>
      <c r="G243" s="414"/>
      <c r="H243" s="414"/>
      <c r="I243" s="414"/>
      <c r="J243" s="414"/>
      <c r="K243" s="414"/>
      <c r="L243" s="415"/>
      <c r="M243" s="495"/>
      <c r="N243" s="496"/>
      <c r="O243" s="496"/>
      <c r="P243" s="496"/>
      <c r="Q243" s="496"/>
      <c r="R243" s="496"/>
      <c r="S243" s="496"/>
      <c r="T243" s="497"/>
    </row>
    <row r="244" spans="2:22" s="3" customFormat="1" ht="15" customHeight="1" x14ac:dyDescent="0.2">
      <c r="B244" s="617"/>
      <c r="C244" s="396" t="s">
        <v>72</v>
      </c>
      <c r="D244" s="396"/>
      <c r="E244" s="396"/>
      <c r="F244" s="396" t="s">
        <v>348</v>
      </c>
      <c r="G244" s="396"/>
      <c r="H244" s="396" t="s">
        <v>62</v>
      </c>
      <c r="I244" s="396"/>
      <c r="J244" s="396" t="s">
        <v>73</v>
      </c>
      <c r="K244" s="396"/>
      <c r="L244" s="396"/>
      <c r="M244" s="498"/>
      <c r="N244" s="499"/>
      <c r="O244" s="499"/>
      <c r="P244" s="499"/>
      <c r="Q244" s="499"/>
      <c r="R244" s="499"/>
      <c r="S244" s="499"/>
      <c r="T244" s="500"/>
    </row>
    <row r="245" spans="2:22" s="3" customFormat="1" ht="21.75" customHeight="1" x14ac:dyDescent="0.2">
      <c r="B245" s="617"/>
      <c r="C245" s="454" t="s">
        <v>74</v>
      </c>
      <c r="D245" s="455"/>
      <c r="E245" s="456"/>
      <c r="F245" s="504">
        <v>1</v>
      </c>
      <c r="G245" s="505"/>
      <c r="H245" s="504">
        <v>1</v>
      </c>
      <c r="I245" s="505"/>
      <c r="J245" s="504">
        <f>F245-H245</f>
        <v>0</v>
      </c>
      <c r="K245" s="728"/>
      <c r="L245" s="505"/>
      <c r="M245" s="498"/>
      <c r="N245" s="499"/>
      <c r="O245" s="499"/>
      <c r="P245" s="499"/>
      <c r="Q245" s="499"/>
      <c r="R245" s="499"/>
      <c r="S245" s="499"/>
      <c r="T245" s="500"/>
      <c r="V245" s="73"/>
    </row>
    <row r="246" spans="2:22" s="3" customFormat="1" ht="22.5" customHeight="1" x14ac:dyDescent="0.2">
      <c r="B246" s="617"/>
      <c r="C246" s="61"/>
      <c r="D246" s="61"/>
      <c r="E246" s="61"/>
      <c r="F246" s="60"/>
      <c r="G246" s="60"/>
      <c r="H246" s="60"/>
      <c r="I246" s="60"/>
      <c r="J246" s="60"/>
      <c r="K246" s="60"/>
      <c r="L246" s="60"/>
      <c r="M246" s="498"/>
      <c r="N246" s="499"/>
      <c r="O246" s="499"/>
      <c r="P246" s="499"/>
      <c r="Q246" s="499"/>
      <c r="R246" s="499"/>
      <c r="S246" s="499"/>
      <c r="T246" s="500"/>
    </row>
    <row r="247" spans="2:22" s="3" customFormat="1" ht="37.9" customHeight="1" x14ac:dyDescent="0.2">
      <c r="B247" s="617"/>
      <c r="C247" s="381" t="s">
        <v>75</v>
      </c>
      <c r="D247" s="382"/>
      <c r="E247" s="381" t="s">
        <v>64</v>
      </c>
      <c r="F247" s="382"/>
      <c r="G247" s="63" t="s">
        <v>76</v>
      </c>
      <c r="H247" s="702" t="s">
        <v>77</v>
      </c>
      <c r="I247" s="704"/>
      <c r="J247" s="63" t="s">
        <v>78</v>
      </c>
      <c r="K247" s="702" t="s">
        <v>79</v>
      </c>
      <c r="L247" s="704"/>
      <c r="M247" s="498"/>
      <c r="N247" s="499"/>
      <c r="O247" s="499"/>
      <c r="P247" s="499"/>
      <c r="Q247" s="499"/>
      <c r="R247" s="499"/>
      <c r="S247" s="499"/>
      <c r="T247" s="500"/>
    </row>
    <row r="248" spans="2:22" s="3" customFormat="1" ht="22.5" customHeight="1" x14ac:dyDescent="0.2">
      <c r="B248" s="617"/>
      <c r="C248" s="474">
        <v>42689</v>
      </c>
      <c r="D248" s="475"/>
      <c r="E248" s="474">
        <v>42840</v>
      </c>
      <c r="F248" s="475"/>
      <c r="G248" s="17">
        <f>+K149</f>
        <v>151</v>
      </c>
      <c r="H248" s="737">
        <f>100/G248</f>
        <v>0.66225165562913912</v>
      </c>
      <c r="I248" s="738"/>
      <c r="J248" s="17">
        <v>20</v>
      </c>
      <c r="K248" s="747">
        <v>100</v>
      </c>
      <c r="L248" s="748"/>
      <c r="M248" s="498"/>
      <c r="N248" s="499"/>
      <c r="O248" s="499"/>
      <c r="P248" s="499"/>
      <c r="Q248" s="499"/>
      <c r="R248" s="499"/>
      <c r="S248" s="499"/>
      <c r="T248" s="500"/>
    </row>
    <row r="249" spans="2:22" s="3" customFormat="1" ht="15.75" customHeight="1" x14ac:dyDescent="0.2">
      <c r="B249" s="617"/>
      <c r="C249" s="61"/>
      <c r="D249" s="62"/>
      <c r="E249" s="59"/>
      <c r="F249" s="17"/>
      <c r="G249" s="20"/>
      <c r="H249" s="20"/>
      <c r="I249" s="17"/>
      <c r="J249" s="19"/>
      <c r="K249" s="19"/>
      <c r="L249" s="60"/>
      <c r="M249" s="498"/>
      <c r="N249" s="499"/>
      <c r="O249" s="499"/>
      <c r="P249" s="499"/>
      <c r="Q249" s="499"/>
      <c r="R249" s="499"/>
      <c r="S249" s="499"/>
      <c r="T249" s="500"/>
    </row>
    <row r="250" spans="2:22" s="3" customFormat="1" ht="29.25" customHeight="1" x14ac:dyDescent="0.2">
      <c r="B250" s="617"/>
      <c r="C250" s="413" t="s">
        <v>80</v>
      </c>
      <c r="D250" s="414"/>
      <c r="E250" s="414"/>
      <c r="F250" s="414"/>
      <c r="G250" s="414"/>
      <c r="H250" s="414"/>
      <c r="I250" s="414"/>
      <c r="J250" s="414"/>
      <c r="K250" s="414"/>
      <c r="L250" s="415"/>
      <c r="M250" s="498"/>
      <c r="N250" s="499"/>
      <c r="O250" s="499"/>
      <c r="P250" s="499"/>
      <c r="Q250" s="499"/>
      <c r="R250" s="499"/>
      <c r="S250" s="499"/>
      <c r="T250" s="500"/>
      <c r="V250" s="23"/>
    </row>
    <row r="251" spans="2:22" s="3" customFormat="1" ht="40.5" customHeight="1" x14ac:dyDescent="0.2">
      <c r="B251" s="617"/>
      <c r="C251" s="735" t="s">
        <v>87</v>
      </c>
      <c r="D251" s="735"/>
      <c r="E251" s="735"/>
      <c r="F251" s="71">
        <v>25</v>
      </c>
      <c r="G251" s="490" t="s">
        <v>88</v>
      </c>
      <c r="H251" s="490"/>
      <c r="I251" s="21">
        <v>15</v>
      </c>
      <c r="J251" s="490" t="s">
        <v>89</v>
      </c>
      <c r="K251" s="490"/>
      <c r="L251" s="59">
        <v>10</v>
      </c>
      <c r="M251" s="501"/>
      <c r="N251" s="502"/>
      <c r="O251" s="502"/>
      <c r="P251" s="502"/>
      <c r="Q251" s="502"/>
      <c r="R251" s="502"/>
      <c r="S251" s="502"/>
      <c r="T251" s="503"/>
    </row>
    <row r="252" spans="2:22" s="3" customFormat="1" ht="27" customHeight="1" x14ac:dyDescent="0.2">
      <c r="B252" s="617"/>
      <c r="C252" s="722" t="s">
        <v>90</v>
      </c>
      <c r="D252" s="723"/>
      <c r="E252" s="723"/>
      <c r="F252" s="723"/>
      <c r="G252" s="723"/>
      <c r="H252" s="723"/>
      <c r="I252" s="723"/>
      <c r="J252" s="723"/>
      <c r="K252" s="723"/>
      <c r="L252" s="723"/>
      <c r="M252" s="723"/>
      <c r="N252" s="723"/>
      <c r="O252" s="723"/>
      <c r="P252" s="723"/>
      <c r="Q252" s="723"/>
      <c r="R252" s="723"/>
      <c r="S252" s="723"/>
      <c r="T252" s="724"/>
    </row>
    <row r="253" spans="2:22" s="3" customFormat="1" ht="22.5" customHeight="1" x14ac:dyDescent="0.2">
      <c r="B253" s="617"/>
      <c r="C253" s="506" t="s">
        <v>81</v>
      </c>
      <c r="D253" s="736"/>
      <c r="E253" s="736"/>
      <c r="F253" s="507"/>
      <c r="G253" s="709" t="s">
        <v>91</v>
      </c>
      <c r="H253" s="709"/>
      <c r="I253" s="709"/>
      <c r="J253" s="396" t="s">
        <v>92</v>
      </c>
      <c r="K253" s="396"/>
      <c r="L253" s="396"/>
      <c r="M253" s="495" t="s">
        <v>82</v>
      </c>
      <c r="N253" s="496"/>
      <c r="O253" s="496"/>
      <c r="P253" s="496"/>
      <c r="Q253" s="496"/>
      <c r="R253" s="496"/>
      <c r="S253" s="496"/>
      <c r="T253" s="497"/>
    </row>
    <row r="254" spans="2:22" s="3" customFormat="1" ht="32.25" customHeight="1" x14ac:dyDescent="0.2">
      <c r="B254" s="617"/>
      <c r="C254" s="709" t="s">
        <v>83</v>
      </c>
      <c r="D254" s="709"/>
      <c r="E254" s="506" t="s">
        <v>349</v>
      </c>
      <c r="F254" s="507"/>
      <c r="G254" s="709"/>
      <c r="H254" s="709"/>
      <c r="I254" s="709"/>
      <c r="J254" s="396"/>
      <c r="K254" s="396"/>
      <c r="L254" s="396"/>
      <c r="M254" s="501"/>
      <c r="N254" s="502"/>
      <c r="O254" s="502"/>
      <c r="P254" s="502"/>
      <c r="Q254" s="502"/>
      <c r="R254" s="502"/>
      <c r="S254" s="502"/>
      <c r="T254" s="503"/>
    </row>
    <row r="255" spans="2:22" s="3" customFormat="1" ht="31.5" customHeight="1" x14ac:dyDescent="0.2">
      <c r="B255" s="617"/>
      <c r="C255" s="491" t="s">
        <v>406</v>
      </c>
      <c r="D255" s="491"/>
      <c r="E255" s="491" t="s">
        <v>407</v>
      </c>
      <c r="F255" s="491"/>
      <c r="G255" s="528" t="s">
        <v>408</v>
      </c>
      <c r="H255" s="528"/>
      <c r="I255" s="528"/>
      <c r="J255" s="710">
        <v>1</v>
      </c>
      <c r="K255" s="710"/>
      <c r="L255" s="710"/>
      <c r="M255" s="732" t="s">
        <v>410</v>
      </c>
      <c r="N255" s="732"/>
      <c r="O255" s="732"/>
      <c r="P255" s="732"/>
      <c r="Q255" s="732"/>
      <c r="R255" s="732"/>
      <c r="S255" s="732"/>
      <c r="T255" s="732"/>
    </row>
    <row r="256" spans="2:22" s="3" customFormat="1" ht="15" customHeight="1" x14ac:dyDescent="0.2">
      <c r="B256" s="381"/>
      <c r="C256" s="563"/>
      <c r="D256" s="563"/>
      <c r="E256" s="563"/>
      <c r="F256" s="563"/>
      <c r="G256" s="563"/>
      <c r="H256" s="563"/>
      <c r="I256" s="563"/>
      <c r="J256" s="563"/>
      <c r="K256" s="563"/>
      <c r="L256" s="563"/>
      <c r="M256" s="563"/>
      <c r="N256" s="563"/>
      <c r="O256" s="563"/>
      <c r="P256" s="563"/>
      <c r="Q256" s="563"/>
      <c r="R256" s="563"/>
      <c r="S256" s="563"/>
      <c r="T256" s="382"/>
    </row>
    <row r="257" spans="2:21" s="3" customFormat="1" ht="27.4" customHeight="1" x14ac:dyDescent="0.2">
      <c r="B257" s="729" t="s">
        <v>69</v>
      </c>
      <c r="C257" s="730"/>
      <c r="D257" s="730"/>
      <c r="E257" s="730"/>
      <c r="F257" s="730"/>
      <c r="G257" s="730"/>
      <c r="H257" s="730"/>
      <c r="I257" s="730"/>
      <c r="J257" s="730"/>
      <c r="K257" s="730"/>
      <c r="L257" s="730"/>
      <c r="M257" s="730"/>
      <c r="N257" s="730"/>
      <c r="O257" s="730"/>
      <c r="P257" s="730"/>
      <c r="Q257" s="730"/>
      <c r="R257" s="730"/>
      <c r="S257" s="730"/>
      <c r="T257" s="731"/>
    </row>
    <row r="258" spans="2:21" s="3" customFormat="1" ht="22.5" customHeight="1" x14ac:dyDescent="0.2">
      <c r="B258" s="413" t="s">
        <v>114</v>
      </c>
      <c r="C258" s="414"/>
      <c r="D258" s="414"/>
      <c r="E258" s="414"/>
      <c r="F258" s="414"/>
      <c r="G258" s="414"/>
      <c r="H258" s="414"/>
      <c r="I258" s="414"/>
      <c r="J258" s="414"/>
      <c r="K258" s="415"/>
      <c r="L258" s="381"/>
      <c r="M258" s="563"/>
      <c r="N258" s="563"/>
      <c r="O258" s="563"/>
      <c r="P258" s="563"/>
      <c r="Q258" s="563"/>
      <c r="R258" s="563"/>
      <c r="S258" s="563"/>
      <c r="T258" s="382"/>
    </row>
    <row r="259" spans="2:21" s="3" customFormat="1" ht="22.5" customHeight="1" x14ac:dyDescent="0.2">
      <c r="B259" s="396" t="s">
        <v>72</v>
      </c>
      <c r="C259" s="396"/>
      <c r="D259" s="396"/>
      <c r="E259" s="381" t="s">
        <v>348</v>
      </c>
      <c r="F259" s="382"/>
      <c r="G259" s="396" t="s">
        <v>62</v>
      </c>
      <c r="H259" s="396"/>
      <c r="I259" s="396" t="s">
        <v>85</v>
      </c>
      <c r="J259" s="396"/>
      <c r="K259" s="396"/>
      <c r="L259" s="481"/>
      <c r="M259" s="482"/>
      <c r="N259" s="482"/>
      <c r="O259" s="482"/>
      <c r="P259" s="482"/>
      <c r="Q259" s="482"/>
      <c r="R259" s="482"/>
      <c r="S259" s="482"/>
      <c r="T259" s="483"/>
    </row>
    <row r="260" spans="2:21" s="3" customFormat="1" ht="22.5" customHeight="1" x14ac:dyDescent="0.2">
      <c r="B260" s="490" t="s">
        <v>74</v>
      </c>
      <c r="C260" s="490"/>
      <c r="D260" s="490"/>
      <c r="E260" s="733">
        <f>+G263/100</f>
        <v>0.7944</v>
      </c>
      <c r="F260" s="734"/>
      <c r="G260" s="714">
        <v>0.85760000000000003</v>
      </c>
      <c r="H260" s="714"/>
      <c r="I260" s="473">
        <f>+E260-G260</f>
        <v>-6.3200000000000034E-2</v>
      </c>
      <c r="J260" s="473"/>
      <c r="K260" s="473"/>
      <c r="L260" s="484"/>
      <c r="M260" s="485"/>
      <c r="N260" s="485"/>
      <c r="O260" s="485"/>
      <c r="P260" s="485"/>
      <c r="Q260" s="485"/>
      <c r="R260" s="485"/>
      <c r="S260" s="485"/>
      <c r="T260" s="486"/>
    </row>
    <row r="261" spans="2:21" s="3" customFormat="1" ht="22.5" customHeight="1" x14ac:dyDescent="0.2">
      <c r="B261" s="610"/>
      <c r="C261" s="660"/>
      <c r="D261" s="660"/>
      <c r="E261" s="660"/>
      <c r="F261" s="660"/>
      <c r="G261" s="660"/>
      <c r="H261" s="660"/>
      <c r="I261" s="660"/>
      <c r="J261" s="660"/>
      <c r="K261" s="611"/>
      <c r="L261" s="484"/>
      <c r="M261" s="485"/>
      <c r="N261" s="485"/>
      <c r="O261" s="485"/>
      <c r="P261" s="485"/>
      <c r="Q261" s="485"/>
      <c r="R261" s="485"/>
      <c r="S261" s="485"/>
      <c r="T261" s="486"/>
    </row>
    <row r="262" spans="2:21" s="3" customFormat="1" ht="34.9" customHeight="1" x14ac:dyDescent="0.2">
      <c r="B262" s="396" t="s">
        <v>75</v>
      </c>
      <c r="C262" s="396"/>
      <c r="D262" s="396" t="s">
        <v>64</v>
      </c>
      <c r="E262" s="396"/>
      <c r="F262" s="63" t="s">
        <v>76</v>
      </c>
      <c r="G262" s="702" t="s">
        <v>79</v>
      </c>
      <c r="H262" s="703"/>
      <c r="I262" s="703"/>
      <c r="J262" s="703"/>
      <c r="K262" s="704"/>
      <c r="L262" s="484"/>
      <c r="M262" s="485"/>
      <c r="N262" s="485"/>
      <c r="O262" s="485"/>
      <c r="P262" s="485"/>
      <c r="Q262" s="485"/>
      <c r="R262" s="485"/>
      <c r="S262" s="485"/>
      <c r="T262" s="486"/>
    </row>
    <row r="263" spans="2:21" s="3" customFormat="1" ht="30" customHeight="1" x14ac:dyDescent="0.2">
      <c r="B263" s="480">
        <f>I150</f>
        <v>42684</v>
      </c>
      <c r="C263" s="528"/>
      <c r="D263" s="480">
        <f>J150</f>
        <v>44923</v>
      </c>
      <c r="E263" s="528"/>
      <c r="F263" s="17">
        <f>K150</f>
        <v>2239</v>
      </c>
      <c r="G263" s="416">
        <v>79.44</v>
      </c>
      <c r="H263" s="417"/>
      <c r="I263" s="417"/>
      <c r="J263" s="417"/>
      <c r="K263" s="418"/>
      <c r="L263" s="484"/>
      <c r="M263" s="485"/>
      <c r="N263" s="485"/>
      <c r="O263" s="485"/>
      <c r="P263" s="485"/>
      <c r="Q263" s="485"/>
      <c r="R263" s="485"/>
      <c r="S263" s="485"/>
      <c r="T263" s="486"/>
    </row>
    <row r="264" spans="2:21" s="3" customFormat="1" ht="25.5" customHeight="1" x14ac:dyDescent="0.2">
      <c r="B264" s="610"/>
      <c r="C264" s="660"/>
      <c r="D264" s="660"/>
      <c r="E264" s="660"/>
      <c r="F264" s="660"/>
      <c r="G264" s="660"/>
      <c r="H264" s="660"/>
      <c r="I264" s="660"/>
      <c r="J264" s="660"/>
      <c r="K264" s="611"/>
      <c r="L264" s="484"/>
      <c r="M264" s="485"/>
      <c r="N264" s="485"/>
      <c r="O264" s="485"/>
      <c r="P264" s="485"/>
      <c r="Q264" s="485"/>
      <c r="R264" s="485"/>
      <c r="S264" s="485"/>
      <c r="T264" s="486"/>
    </row>
    <row r="265" spans="2:21" s="3" customFormat="1" ht="24" customHeight="1" x14ac:dyDescent="0.2">
      <c r="B265" s="413" t="s">
        <v>80</v>
      </c>
      <c r="C265" s="414"/>
      <c r="D265" s="414"/>
      <c r="E265" s="414"/>
      <c r="F265" s="414"/>
      <c r="G265" s="414"/>
      <c r="H265" s="414"/>
      <c r="I265" s="414"/>
      <c r="J265" s="414"/>
      <c r="K265" s="415"/>
      <c r="L265" s="487"/>
      <c r="M265" s="488"/>
      <c r="N265" s="488"/>
      <c r="O265" s="488"/>
      <c r="P265" s="488"/>
      <c r="Q265" s="488"/>
      <c r="R265" s="488"/>
      <c r="S265" s="488"/>
      <c r="T265" s="489"/>
    </row>
    <row r="266" spans="2:21" s="3" customFormat="1" ht="37.5" customHeight="1" x14ac:dyDescent="0.2">
      <c r="B266" s="699" t="s">
        <v>93</v>
      </c>
      <c r="C266" s="700"/>
      <c r="D266" s="700"/>
      <c r="E266" s="700"/>
      <c r="F266" s="701"/>
      <c r="G266" s="706" t="s">
        <v>94</v>
      </c>
      <c r="H266" s="706"/>
      <c r="I266" s="742" t="s">
        <v>95</v>
      </c>
      <c r="J266" s="742"/>
      <c r="K266" s="64" t="s">
        <v>286</v>
      </c>
      <c r="L266" s="699" t="s">
        <v>96</v>
      </c>
      <c r="M266" s="700"/>
      <c r="N266" s="700"/>
      <c r="O266" s="700"/>
      <c r="P266" s="700"/>
      <c r="Q266" s="700"/>
      <c r="R266" s="700"/>
      <c r="S266" s="700"/>
      <c r="T266" s="701"/>
    </row>
    <row r="267" spans="2:21" s="3" customFormat="1" ht="33" customHeight="1" x14ac:dyDescent="0.25">
      <c r="B267" s="739" t="s">
        <v>97</v>
      </c>
      <c r="C267" s="740"/>
      <c r="D267" s="740"/>
      <c r="E267" s="740"/>
      <c r="F267" s="741"/>
      <c r="G267" s="396" t="s">
        <v>98</v>
      </c>
      <c r="H267" s="396"/>
      <c r="I267" s="743" t="s">
        <v>98</v>
      </c>
      <c r="J267" s="743"/>
      <c r="K267" s="24"/>
      <c r="L267" s="744"/>
      <c r="M267" s="745"/>
      <c r="N267" s="745"/>
      <c r="O267" s="745"/>
      <c r="P267" s="745"/>
      <c r="Q267" s="745"/>
      <c r="R267" s="745"/>
      <c r="S267" s="745"/>
      <c r="T267" s="746"/>
    </row>
    <row r="268" spans="2:21" s="3" customFormat="1" ht="28.15" customHeight="1" x14ac:dyDescent="0.2">
      <c r="B268" s="562" t="s">
        <v>81</v>
      </c>
      <c r="C268" s="562"/>
      <c r="D268" s="562"/>
      <c r="E268" s="562"/>
      <c r="F268" s="562" t="s">
        <v>44</v>
      </c>
      <c r="G268" s="562"/>
      <c r="H268" s="562"/>
      <c r="I268" s="562"/>
      <c r="J268" s="422" t="s">
        <v>82</v>
      </c>
      <c r="K268" s="423"/>
      <c r="L268" s="423"/>
      <c r="M268" s="423"/>
      <c r="N268" s="423"/>
      <c r="O268" s="423"/>
      <c r="P268" s="423"/>
      <c r="Q268" s="423"/>
      <c r="R268" s="423"/>
      <c r="S268" s="423"/>
      <c r="T268" s="424"/>
    </row>
    <row r="269" spans="2:21" s="3" customFormat="1" ht="28.15" customHeight="1" x14ac:dyDescent="0.2">
      <c r="B269" s="562" t="s">
        <v>83</v>
      </c>
      <c r="C269" s="562"/>
      <c r="D269" s="562" t="s">
        <v>349</v>
      </c>
      <c r="E269" s="562"/>
      <c r="F269" s="562"/>
      <c r="G269" s="562"/>
      <c r="H269" s="562"/>
      <c r="I269" s="562"/>
      <c r="J269" s="425"/>
      <c r="K269" s="426"/>
      <c r="L269" s="426"/>
      <c r="M269" s="426"/>
      <c r="N269" s="426"/>
      <c r="O269" s="426"/>
      <c r="P269" s="426"/>
      <c r="Q269" s="426"/>
      <c r="R269" s="426"/>
      <c r="S269" s="426"/>
      <c r="T269" s="427"/>
    </row>
    <row r="270" spans="2:21" s="3" customFormat="1" ht="140.44999999999999" customHeight="1" x14ac:dyDescent="0.2">
      <c r="B270" s="397" t="s">
        <v>1143</v>
      </c>
      <c r="C270" s="398"/>
      <c r="D270" s="397" t="s">
        <v>1144</v>
      </c>
      <c r="E270" s="398"/>
      <c r="F270" s="399" t="s">
        <v>1145</v>
      </c>
      <c r="G270" s="403"/>
      <c r="H270" s="403"/>
      <c r="I270" s="400"/>
      <c r="J270" s="404" t="s">
        <v>1207</v>
      </c>
      <c r="K270" s="405"/>
      <c r="L270" s="405"/>
      <c r="M270" s="405"/>
      <c r="N270" s="405"/>
      <c r="O270" s="405"/>
      <c r="P270" s="405"/>
      <c r="Q270" s="405"/>
      <c r="R270" s="405"/>
      <c r="S270" s="405"/>
      <c r="T270" s="406"/>
    </row>
    <row r="271" spans="2:21" s="3" customFormat="1" ht="189" customHeight="1" x14ac:dyDescent="0.2">
      <c r="B271" s="397" t="s">
        <v>525</v>
      </c>
      <c r="C271" s="398"/>
      <c r="D271" s="397" t="s">
        <v>526</v>
      </c>
      <c r="E271" s="398"/>
      <c r="F271" s="399" t="s">
        <v>759</v>
      </c>
      <c r="G271" s="403"/>
      <c r="H271" s="403"/>
      <c r="I271" s="400"/>
      <c r="J271" s="404" t="s">
        <v>1208</v>
      </c>
      <c r="K271" s="405"/>
      <c r="L271" s="405"/>
      <c r="M271" s="405"/>
      <c r="N271" s="405"/>
      <c r="O271" s="405"/>
      <c r="P271" s="405"/>
      <c r="Q271" s="405"/>
      <c r="R271" s="405"/>
      <c r="S271" s="405"/>
      <c r="T271" s="406"/>
      <c r="U271" s="277"/>
    </row>
    <row r="272" spans="2:21" s="3" customFormat="1" ht="90" customHeight="1" x14ac:dyDescent="0.2">
      <c r="B272" s="397" t="s">
        <v>832</v>
      </c>
      <c r="C272" s="398"/>
      <c r="D272" s="397" t="s">
        <v>833</v>
      </c>
      <c r="E272" s="398"/>
      <c r="F272" s="399" t="s">
        <v>834</v>
      </c>
      <c r="G272" s="403"/>
      <c r="H272" s="403"/>
      <c r="I272" s="400"/>
      <c r="J272" s="404" t="s">
        <v>1209</v>
      </c>
      <c r="K272" s="405"/>
      <c r="L272" s="405"/>
      <c r="M272" s="405"/>
      <c r="N272" s="405"/>
      <c r="O272" s="405"/>
      <c r="P272" s="405"/>
      <c r="Q272" s="405"/>
      <c r="R272" s="405"/>
      <c r="S272" s="405"/>
      <c r="T272" s="406"/>
      <c r="U272" s="277"/>
    </row>
    <row r="273" spans="2:39" s="3" customFormat="1" ht="39" customHeight="1" x14ac:dyDescent="0.2">
      <c r="B273" s="397" t="s">
        <v>497</v>
      </c>
      <c r="C273" s="398"/>
      <c r="D273" s="397" t="s">
        <v>498</v>
      </c>
      <c r="E273" s="398"/>
      <c r="F273" s="397" t="s">
        <v>549</v>
      </c>
      <c r="G273" s="407"/>
      <c r="H273" s="407"/>
      <c r="I273" s="398"/>
      <c r="J273" s="404" t="s">
        <v>524</v>
      </c>
      <c r="K273" s="405"/>
      <c r="L273" s="405"/>
      <c r="M273" s="405"/>
      <c r="N273" s="405"/>
      <c r="O273" s="405"/>
      <c r="P273" s="405"/>
      <c r="Q273" s="405"/>
      <c r="R273" s="405"/>
      <c r="S273" s="405"/>
      <c r="T273" s="406"/>
      <c r="U273" s="277"/>
    </row>
    <row r="274" spans="2:39" s="3" customFormat="1" ht="84" customHeight="1" x14ac:dyDescent="0.2">
      <c r="B274" s="397" t="s">
        <v>553</v>
      </c>
      <c r="C274" s="398"/>
      <c r="D274" s="397"/>
      <c r="E274" s="398"/>
      <c r="F274" s="397" t="s">
        <v>499</v>
      </c>
      <c r="G274" s="407"/>
      <c r="H274" s="407"/>
      <c r="I274" s="398"/>
      <c r="J274" s="404" t="s">
        <v>1056</v>
      </c>
      <c r="K274" s="405"/>
      <c r="L274" s="405"/>
      <c r="M274" s="405"/>
      <c r="N274" s="405"/>
      <c r="O274" s="405"/>
      <c r="P274" s="405"/>
      <c r="Q274" s="405"/>
      <c r="R274" s="405"/>
      <c r="S274" s="405"/>
      <c r="T274" s="406"/>
      <c r="U274" s="277"/>
    </row>
    <row r="275" spans="2:39" s="3" customFormat="1" ht="15" customHeight="1" x14ac:dyDescent="0.2">
      <c r="B275" s="381"/>
      <c r="C275" s="563"/>
      <c r="D275" s="563"/>
      <c r="E275" s="563"/>
      <c r="F275" s="563"/>
      <c r="G275" s="563"/>
      <c r="H275" s="563"/>
      <c r="I275" s="563"/>
      <c r="J275" s="563"/>
      <c r="K275" s="563"/>
      <c r="L275" s="563"/>
      <c r="M275" s="563"/>
      <c r="N275" s="563"/>
      <c r="O275" s="563"/>
      <c r="P275" s="563"/>
      <c r="Q275" s="563"/>
      <c r="R275" s="563"/>
      <c r="S275" s="563"/>
      <c r="T275" s="382"/>
    </row>
    <row r="276" spans="2:39" s="3" customFormat="1" ht="22.5" customHeight="1" x14ac:dyDescent="0.2">
      <c r="B276" s="618" t="s">
        <v>99</v>
      </c>
      <c r="C276" s="619"/>
      <c r="D276" s="619"/>
      <c r="E276" s="619"/>
      <c r="F276" s="619"/>
      <c r="G276" s="619"/>
      <c r="H276" s="619"/>
      <c r="I276" s="619"/>
      <c r="J276" s="619"/>
      <c r="K276" s="619"/>
      <c r="L276" s="619"/>
      <c r="M276" s="619"/>
      <c r="N276" s="619"/>
      <c r="O276" s="619"/>
      <c r="P276" s="619"/>
      <c r="Q276" s="619"/>
      <c r="R276" s="619"/>
      <c r="S276" s="619"/>
      <c r="T276" s="620"/>
    </row>
    <row r="277" spans="2:39" s="3" customFormat="1" ht="30.4" customHeight="1" x14ac:dyDescent="0.2">
      <c r="B277" s="616" t="s">
        <v>84</v>
      </c>
      <c r="C277" s="614" t="s">
        <v>496</v>
      </c>
      <c r="D277" s="725"/>
      <c r="E277" s="725"/>
      <c r="F277" s="725"/>
      <c r="G277" s="725"/>
      <c r="H277" s="725"/>
      <c r="I277" s="725"/>
      <c r="J277" s="725"/>
      <c r="K277" s="725"/>
      <c r="L277" s="725"/>
      <c r="M277" s="725"/>
      <c r="N277" s="725"/>
      <c r="O277" s="725"/>
      <c r="P277" s="725"/>
      <c r="Q277" s="725"/>
      <c r="R277" s="725"/>
      <c r="S277" s="725"/>
      <c r="T277" s="726"/>
    </row>
    <row r="278" spans="2:39" s="3" customFormat="1" ht="22.5" customHeight="1" x14ac:dyDescent="0.2">
      <c r="B278" s="617"/>
      <c r="C278" s="413" t="s">
        <v>114</v>
      </c>
      <c r="D278" s="414"/>
      <c r="E278" s="414"/>
      <c r="F278" s="414"/>
      <c r="G278" s="414"/>
      <c r="H278" s="414"/>
      <c r="I278" s="414"/>
      <c r="J278" s="414"/>
      <c r="K278" s="414"/>
      <c r="L278" s="415"/>
      <c r="M278" s="413"/>
      <c r="N278" s="414"/>
      <c r="O278" s="414"/>
      <c r="P278" s="414"/>
      <c r="Q278" s="414"/>
      <c r="R278" s="414"/>
      <c r="S278" s="414"/>
      <c r="T278" s="415"/>
    </row>
    <row r="279" spans="2:39" s="3" customFormat="1" ht="22.5" customHeight="1" x14ac:dyDescent="0.2">
      <c r="B279" s="617"/>
      <c r="C279" s="396" t="s">
        <v>72</v>
      </c>
      <c r="D279" s="396"/>
      <c r="E279" s="396"/>
      <c r="F279" s="396" t="s">
        <v>348</v>
      </c>
      <c r="G279" s="396"/>
      <c r="H279" s="396" t="s">
        <v>62</v>
      </c>
      <c r="I279" s="396"/>
      <c r="J279" s="396" t="s">
        <v>85</v>
      </c>
      <c r="K279" s="396"/>
      <c r="L279" s="396"/>
      <c r="M279" s="481"/>
      <c r="N279" s="482"/>
      <c r="O279" s="482"/>
      <c r="P279" s="482"/>
      <c r="Q279" s="482"/>
      <c r="R279" s="482"/>
      <c r="S279" s="482"/>
      <c r="T279" s="483"/>
    </row>
    <row r="280" spans="2:39" s="3" customFormat="1" ht="22.15" customHeight="1" x14ac:dyDescent="0.2">
      <c r="B280" s="617"/>
      <c r="C280" s="381" t="s">
        <v>72</v>
      </c>
      <c r="D280" s="563"/>
      <c r="E280" s="382"/>
      <c r="F280" s="381" t="s">
        <v>348</v>
      </c>
      <c r="G280" s="382"/>
      <c r="H280" s="381" t="s">
        <v>62</v>
      </c>
      <c r="I280" s="382"/>
      <c r="J280" s="381" t="s">
        <v>85</v>
      </c>
      <c r="K280" s="563"/>
      <c r="L280" s="382"/>
      <c r="M280" s="484"/>
      <c r="N280" s="485"/>
      <c r="O280" s="485"/>
      <c r="P280" s="485"/>
      <c r="Q280" s="485"/>
      <c r="R280" s="485"/>
      <c r="S280" s="485"/>
      <c r="T280" s="486"/>
      <c r="V280" s="46"/>
      <c r="W280" s="46"/>
      <c r="X280" s="46"/>
      <c r="Y280" s="46"/>
      <c r="Z280" s="46"/>
      <c r="AA280" s="46"/>
      <c r="AB280" s="46"/>
      <c r="AC280" s="46"/>
      <c r="AD280" s="46"/>
      <c r="AE280" s="46"/>
      <c r="AF280" s="46"/>
      <c r="AG280" s="46"/>
      <c r="AH280" s="46"/>
      <c r="AI280" s="46"/>
      <c r="AJ280" s="46"/>
      <c r="AK280" s="46"/>
      <c r="AL280" s="46"/>
      <c r="AM280" s="46"/>
    </row>
    <row r="281" spans="2:39" s="3" customFormat="1" ht="14.25" x14ac:dyDescent="0.2">
      <c r="B281" s="617"/>
      <c r="C281" s="490" t="s">
        <v>74</v>
      </c>
      <c r="D281" s="490"/>
      <c r="E281" s="490"/>
      <c r="F281" s="705">
        <f>+H284</f>
        <v>1</v>
      </c>
      <c r="G281" s="705"/>
      <c r="H281" s="705">
        <v>1</v>
      </c>
      <c r="I281" s="705"/>
      <c r="J281" s="705">
        <f>+F281</f>
        <v>1</v>
      </c>
      <c r="K281" s="705"/>
      <c r="L281" s="705"/>
      <c r="M281" s="484"/>
      <c r="N281" s="485"/>
      <c r="O281" s="485"/>
      <c r="P281" s="485"/>
      <c r="Q281" s="485"/>
      <c r="R281" s="485"/>
      <c r="S281" s="485"/>
      <c r="T281" s="486"/>
      <c r="V281" s="46"/>
      <c r="W281" s="46"/>
      <c r="X281" s="46"/>
      <c r="Y281" s="46"/>
      <c r="Z281" s="46"/>
      <c r="AA281" s="46"/>
      <c r="AB281" s="46"/>
      <c r="AC281" s="46"/>
      <c r="AD281" s="46"/>
      <c r="AE281" s="46"/>
      <c r="AF281" s="46"/>
      <c r="AG281" s="46"/>
      <c r="AH281" s="46"/>
      <c r="AI281" s="46"/>
      <c r="AJ281" s="46"/>
      <c r="AK281" s="46"/>
      <c r="AL281" s="46"/>
      <c r="AM281" s="46"/>
    </row>
    <row r="282" spans="2:39" s="3" customFormat="1" ht="14.25" customHeight="1" x14ac:dyDescent="0.2">
      <c r="B282" s="617"/>
      <c r="C282" s="91"/>
      <c r="D282" s="91"/>
      <c r="E282" s="91"/>
      <c r="F282" s="90"/>
      <c r="G282" s="90"/>
      <c r="H282" s="90"/>
      <c r="I282" s="90"/>
      <c r="J282" s="90"/>
      <c r="K282" s="90"/>
      <c r="L282" s="90"/>
      <c r="M282" s="484"/>
      <c r="N282" s="485"/>
      <c r="O282" s="485"/>
      <c r="P282" s="485"/>
      <c r="Q282" s="485"/>
      <c r="R282" s="485"/>
      <c r="S282" s="485"/>
      <c r="T282" s="486"/>
    </row>
    <row r="283" spans="2:39" ht="30" x14ac:dyDescent="0.2">
      <c r="B283" s="617"/>
      <c r="C283" s="396" t="s">
        <v>75</v>
      </c>
      <c r="D283" s="396"/>
      <c r="E283" s="381" t="s">
        <v>64</v>
      </c>
      <c r="F283" s="382"/>
      <c r="G283" s="89" t="s">
        <v>76</v>
      </c>
      <c r="H283" s="702" t="s">
        <v>79</v>
      </c>
      <c r="I283" s="703"/>
      <c r="J283" s="703"/>
      <c r="K283" s="703"/>
      <c r="L283" s="704"/>
      <c r="M283" s="484"/>
      <c r="N283" s="485"/>
      <c r="O283" s="485"/>
      <c r="P283" s="485"/>
      <c r="Q283" s="485"/>
      <c r="R283" s="485"/>
      <c r="S283" s="485"/>
      <c r="T283" s="486"/>
    </row>
    <row r="284" spans="2:39" ht="27.75" customHeight="1" x14ac:dyDescent="0.2">
      <c r="B284" s="617"/>
      <c r="C284" s="480">
        <f>I152</f>
        <v>42684</v>
      </c>
      <c r="D284" s="480"/>
      <c r="E284" s="474">
        <f>J152</f>
        <v>43895</v>
      </c>
      <c r="F284" s="475"/>
      <c r="G284" s="17">
        <f>+K152</f>
        <v>0</v>
      </c>
      <c r="H284" s="718">
        <v>1</v>
      </c>
      <c r="I284" s="719"/>
      <c r="J284" s="719"/>
      <c r="K284" s="719"/>
      <c r="L284" s="720"/>
      <c r="M284" s="484"/>
      <c r="N284" s="485"/>
      <c r="O284" s="485"/>
      <c r="P284" s="485"/>
      <c r="Q284" s="485"/>
      <c r="R284" s="485"/>
      <c r="S284" s="485"/>
      <c r="T284" s="486"/>
    </row>
    <row r="285" spans="2:39" ht="14.1" customHeight="1" x14ac:dyDescent="0.2">
      <c r="B285" s="617"/>
      <c r="C285" s="381" t="s">
        <v>80</v>
      </c>
      <c r="D285" s="563"/>
      <c r="E285" s="563"/>
      <c r="F285" s="563"/>
      <c r="G285" s="563"/>
      <c r="H285" s="563"/>
      <c r="I285" s="563"/>
      <c r="J285" s="563"/>
      <c r="K285" s="563"/>
      <c r="L285" s="382"/>
      <c r="M285" s="487"/>
      <c r="N285" s="488"/>
      <c r="O285" s="488"/>
      <c r="P285" s="488"/>
      <c r="Q285" s="488"/>
      <c r="R285" s="488"/>
      <c r="S285" s="488"/>
      <c r="T285" s="489"/>
    </row>
    <row r="286" spans="2:39" s="3" customFormat="1" ht="15" customHeight="1" x14ac:dyDescent="0.2">
      <c r="B286" s="617"/>
      <c r="C286" s="381" t="s">
        <v>93</v>
      </c>
      <c r="D286" s="563"/>
      <c r="E286" s="563"/>
      <c r="F286" s="563"/>
      <c r="G286" s="382"/>
      <c r="H286" s="396" t="s">
        <v>100</v>
      </c>
      <c r="I286" s="396"/>
      <c r="J286" s="396" t="s">
        <v>95</v>
      </c>
      <c r="K286" s="396"/>
      <c r="L286" s="88" t="s">
        <v>286</v>
      </c>
      <c r="M286" s="699" t="s">
        <v>96</v>
      </c>
      <c r="N286" s="700"/>
      <c r="O286" s="700"/>
      <c r="P286" s="700"/>
      <c r="Q286" s="700"/>
      <c r="R286" s="700"/>
      <c r="S286" s="700"/>
      <c r="T286" s="701"/>
    </row>
    <row r="287" spans="2:39" ht="15" x14ac:dyDescent="0.2">
      <c r="B287" s="617"/>
      <c r="C287" s="381" t="s">
        <v>98</v>
      </c>
      <c r="D287" s="563"/>
      <c r="E287" s="563"/>
      <c r="F287" s="563"/>
      <c r="G287" s="382"/>
      <c r="H287" s="396" t="s">
        <v>98</v>
      </c>
      <c r="I287" s="396"/>
      <c r="J287" s="727" t="s">
        <v>98</v>
      </c>
      <c r="K287" s="727"/>
      <c r="L287" s="89" t="s">
        <v>98</v>
      </c>
      <c r="M287" s="610"/>
      <c r="N287" s="660"/>
      <c r="O287" s="660"/>
      <c r="P287" s="660"/>
      <c r="Q287" s="660"/>
      <c r="R287" s="660"/>
      <c r="S287" s="660"/>
      <c r="T287" s="611"/>
    </row>
    <row r="288" spans="2:39" ht="24" customHeight="1" x14ac:dyDescent="0.2">
      <c r="B288" s="617"/>
      <c r="C288" s="396" t="s">
        <v>81</v>
      </c>
      <c r="D288" s="396"/>
      <c r="E288" s="396"/>
      <c r="F288" s="396"/>
      <c r="G288" s="396" t="s">
        <v>44</v>
      </c>
      <c r="H288" s="396"/>
      <c r="I288" s="396"/>
      <c r="J288" s="396"/>
      <c r="K288" s="621" t="s">
        <v>550</v>
      </c>
      <c r="L288" s="621"/>
      <c r="M288" s="621"/>
      <c r="N288" s="621"/>
      <c r="O288" s="621"/>
      <c r="P288" s="621"/>
      <c r="Q288" s="621"/>
      <c r="R288" s="621"/>
      <c r="S288" s="621"/>
      <c r="T288" s="622"/>
    </row>
    <row r="289" spans="2:23" ht="23.45" customHeight="1" x14ac:dyDescent="0.2">
      <c r="B289" s="617"/>
      <c r="C289" s="396" t="s">
        <v>83</v>
      </c>
      <c r="D289" s="396"/>
      <c r="E289" s="396" t="s">
        <v>349</v>
      </c>
      <c r="F289" s="396"/>
      <c r="G289" s="396"/>
      <c r="H289" s="396"/>
      <c r="I289" s="396"/>
      <c r="J289" s="396"/>
      <c r="K289" s="623"/>
      <c r="L289" s="623"/>
      <c r="M289" s="623"/>
      <c r="N289" s="623"/>
      <c r="O289" s="623"/>
      <c r="P289" s="623"/>
      <c r="Q289" s="623"/>
      <c r="R289" s="623"/>
      <c r="S289" s="623"/>
      <c r="T289" s="624"/>
    </row>
    <row r="290" spans="2:23" ht="27.75" customHeight="1" x14ac:dyDescent="0.2">
      <c r="B290" s="381"/>
      <c r="C290" s="563"/>
      <c r="D290" s="563"/>
      <c r="E290" s="563"/>
      <c r="F290" s="563"/>
      <c r="G290" s="563"/>
      <c r="H290" s="563"/>
      <c r="I290" s="563"/>
      <c r="J290" s="563"/>
      <c r="K290" s="563"/>
      <c r="L290" s="563"/>
      <c r="M290" s="563"/>
      <c r="N290" s="563"/>
      <c r="O290" s="563"/>
      <c r="P290" s="563"/>
      <c r="Q290" s="563"/>
      <c r="R290" s="563"/>
      <c r="S290" s="563"/>
      <c r="T290" s="382"/>
    </row>
    <row r="291" spans="2:23" ht="27" customHeight="1" x14ac:dyDescent="0.2">
      <c r="B291" s="616" t="s">
        <v>86</v>
      </c>
      <c r="C291" s="613" t="s">
        <v>411</v>
      </c>
      <c r="D291" s="614"/>
      <c r="E291" s="614"/>
      <c r="F291" s="614"/>
      <c r="G291" s="614"/>
      <c r="H291" s="614"/>
      <c r="I291" s="614"/>
      <c r="J291" s="614"/>
      <c r="K291" s="614"/>
      <c r="L291" s="614"/>
      <c r="M291" s="614"/>
      <c r="N291" s="614"/>
      <c r="O291" s="614"/>
      <c r="P291" s="614"/>
      <c r="Q291" s="614"/>
      <c r="R291" s="614"/>
      <c r="S291" s="614"/>
      <c r="T291" s="615"/>
    </row>
    <row r="292" spans="2:23" ht="22.15" customHeight="1" x14ac:dyDescent="0.2">
      <c r="B292" s="617"/>
      <c r="C292" s="413" t="s">
        <v>114</v>
      </c>
      <c r="D292" s="414"/>
      <c r="E292" s="414"/>
      <c r="F292" s="414"/>
      <c r="G292" s="414"/>
      <c r="H292" s="414"/>
      <c r="I292" s="414"/>
      <c r="J292" s="414"/>
      <c r="K292" s="414"/>
      <c r="L292" s="415"/>
      <c r="M292" s="413"/>
      <c r="N292" s="414"/>
      <c r="O292" s="414"/>
      <c r="P292" s="414"/>
      <c r="Q292" s="414"/>
      <c r="R292" s="414"/>
      <c r="S292" s="414"/>
      <c r="T292" s="415"/>
    </row>
    <row r="293" spans="2:23" ht="27.75" customHeight="1" x14ac:dyDescent="0.2">
      <c r="B293" s="617"/>
      <c r="C293" s="396" t="s">
        <v>72</v>
      </c>
      <c r="D293" s="396"/>
      <c r="E293" s="396"/>
      <c r="F293" s="396" t="s">
        <v>348</v>
      </c>
      <c r="G293" s="396"/>
      <c r="H293" s="396" t="s">
        <v>62</v>
      </c>
      <c r="I293" s="396"/>
      <c r="J293" s="396" t="s">
        <v>73</v>
      </c>
      <c r="K293" s="396"/>
      <c r="L293" s="396"/>
      <c r="M293" s="481"/>
      <c r="N293" s="482"/>
      <c r="O293" s="482"/>
      <c r="P293" s="482"/>
      <c r="Q293" s="482"/>
      <c r="R293" s="482"/>
      <c r="S293" s="482"/>
      <c r="T293" s="483"/>
    </row>
    <row r="294" spans="2:23" ht="21.6" customHeight="1" x14ac:dyDescent="0.2">
      <c r="B294" s="617"/>
      <c r="C294" s="490" t="s">
        <v>74</v>
      </c>
      <c r="D294" s="490"/>
      <c r="E294" s="490"/>
      <c r="F294" s="705">
        <v>1</v>
      </c>
      <c r="G294" s="705"/>
      <c r="H294" s="705">
        <v>1</v>
      </c>
      <c r="I294" s="705"/>
      <c r="J294" s="517">
        <f>F294-H294</f>
        <v>0</v>
      </c>
      <c r="K294" s="517"/>
      <c r="L294" s="517"/>
      <c r="M294" s="487"/>
      <c r="N294" s="488"/>
      <c r="O294" s="488"/>
      <c r="P294" s="488"/>
      <c r="Q294" s="488"/>
      <c r="R294" s="488"/>
      <c r="S294" s="488"/>
      <c r="T294" s="489"/>
    </row>
    <row r="295" spans="2:23" ht="24" customHeight="1" x14ac:dyDescent="0.2">
      <c r="B295" s="617"/>
      <c r="C295" s="562" t="s">
        <v>81</v>
      </c>
      <c r="D295" s="562"/>
      <c r="E295" s="562"/>
      <c r="F295" s="562"/>
      <c r="G295" s="562" t="s">
        <v>44</v>
      </c>
      <c r="H295" s="562"/>
      <c r="I295" s="562"/>
      <c r="J295" s="562"/>
      <c r="K295" s="422" t="s">
        <v>550</v>
      </c>
      <c r="L295" s="423"/>
      <c r="M295" s="423"/>
      <c r="N295" s="423"/>
      <c r="O295" s="423"/>
      <c r="P295" s="423"/>
      <c r="Q295" s="423"/>
      <c r="R295" s="423"/>
      <c r="S295" s="423"/>
      <c r="T295" s="424"/>
    </row>
    <row r="296" spans="2:23" ht="24.4" customHeight="1" x14ac:dyDescent="0.2">
      <c r="B296" s="617"/>
      <c r="C296" s="562" t="s">
        <v>83</v>
      </c>
      <c r="D296" s="562"/>
      <c r="E296" s="562" t="s">
        <v>349</v>
      </c>
      <c r="F296" s="562"/>
      <c r="G296" s="562"/>
      <c r="H296" s="562"/>
      <c r="I296" s="562"/>
      <c r="J296" s="562"/>
      <c r="K296" s="425"/>
      <c r="L296" s="426"/>
      <c r="M296" s="426"/>
      <c r="N296" s="426"/>
      <c r="O296" s="426"/>
      <c r="P296" s="426"/>
      <c r="Q296" s="426"/>
      <c r="R296" s="426"/>
      <c r="S296" s="426"/>
      <c r="T296" s="427"/>
    </row>
    <row r="297" spans="2:23" ht="27.75" customHeight="1" x14ac:dyDescent="0.2">
      <c r="B297" s="381"/>
      <c r="C297" s="563"/>
      <c r="D297" s="563"/>
      <c r="E297" s="563"/>
      <c r="F297" s="563"/>
      <c r="G297" s="563"/>
      <c r="H297" s="563"/>
      <c r="I297" s="563"/>
      <c r="J297" s="563"/>
      <c r="K297" s="563"/>
      <c r="L297" s="563"/>
      <c r="M297" s="563"/>
      <c r="N297" s="563"/>
      <c r="O297" s="563"/>
      <c r="P297" s="563"/>
      <c r="Q297" s="563"/>
      <c r="R297" s="563"/>
      <c r="S297" s="563"/>
      <c r="T297" s="382"/>
    </row>
    <row r="298" spans="2:23" ht="25.9" customHeight="1" x14ac:dyDescent="0.2">
      <c r="B298" s="408" t="s">
        <v>101</v>
      </c>
      <c r="C298" s="409"/>
      <c r="D298" s="409"/>
      <c r="E298" s="409"/>
      <c r="F298" s="409"/>
      <c r="G298" s="409"/>
      <c r="H298" s="409"/>
      <c r="I298" s="409"/>
      <c r="J298" s="409"/>
      <c r="K298" s="409"/>
      <c r="L298" s="409"/>
      <c r="M298" s="409"/>
      <c r="N298" s="409"/>
      <c r="O298" s="409"/>
      <c r="P298" s="409"/>
      <c r="Q298" s="409"/>
      <c r="R298" s="409"/>
      <c r="S298" s="409"/>
      <c r="T298" s="410"/>
    </row>
    <row r="299" spans="2:23" ht="23.45" customHeight="1" x14ac:dyDescent="0.2">
      <c r="B299" s="451" t="s">
        <v>46</v>
      </c>
      <c r="C299" s="452"/>
      <c r="D299" s="452"/>
      <c r="E299" s="452"/>
      <c r="F299" s="453"/>
      <c r="G299" s="429" t="s">
        <v>102</v>
      </c>
      <c r="H299" s="429"/>
      <c r="I299" s="429"/>
      <c r="J299" s="429"/>
      <c r="K299" s="429"/>
      <c r="L299" s="429"/>
      <c r="M299" s="429"/>
      <c r="N299" s="429"/>
      <c r="O299" s="429"/>
      <c r="P299" s="429"/>
      <c r="Q299" s="429"/>
      <c r="R299" s="429"/>
      <c r="S299" s="451" t="s">
        <v>103</v>
      </c>
      <c r="T299" s="453"/>
    </row>
    <row r="300" spans="2:23" ht="206.45" hidden="1" customHeight="1" x14ac:dyDescent="0.2">
      <c r="B300" s="396" t="s">
        <v>340</v>
      </c>
      <c r="C300" s="396"/>
      <c r="D300" s="396"/>
      <c r="E300" s="396"/>
      <c r="F300" s="396"/>
      <c r="G300" s="658"/>
      <c r="H300" s="658"/>
      <c r="I300" s="658"/>
      <c r="J300" s="658"/>
      <c r="K300" s="658"/>
      <c r="L300" s="658"/>
      <c r="M300" s="658"/>
      <c r="N300" s="658"/>
      <c r="O300" s="658"/>
      <c r="P300" s="658"/>
      <c r="Q300" s="658"/>
      <c r="R300" s="658"/>
      <c r="S300" s="610" t="s">
        <v>519</v>
      </c>
      <c r="T300" s="611"/>
      <c r="V300" s="612"/>
      <c r="W300" s="612"/>
    </row>
    <row r="301" spans="2:23" ht="155.44999999999999" customHeight="1" x14ac:dyDescent="0.2">
      <c r="B301" s="396" t="s">
        <v>770</v>
      </c>
      <c r="C301" s="396"/>
      <c r="D301" s="396"/>
      <c r="E301" s="396"/>
      <c r="F301" s="396"/>
      <c r="G301" s="490" t="s">
        <v>1318</v>
      </c>
      <c r="H301" s="490"/>
      <c r="I301" s="490"/>
      <c r="J301" s="490"/>
      <c r="K301" s="490"/>
      <c r="L301" s="490"/>
      <c r="M301" s="490"/>
      <c r="N301" s="490"/>
      <c r="O301" s="490"/>
      <c r="P301" s="490"/>
      <c r="Q301" s="490"/>
      <c r="R301" s="490"/>
      <c r="S301" s="610" t="s">
        <v>1121</v>
      </c>
      <c r="T301" s="611"/>
      <c r="U301" s="278"/>
    </row>
    <row r="302" spans="2:23" ht="132.6" customHeight="1" x14ac:dyDescent="0.2">
      <c r="B302" s="396" t="s">
        <v>771</v>
      </c>
      <c r="C302" s="396"/>
      <c r="D302" s="396"/>
      <c r="E302" s="396"/>
      <c r="F302" s="396"/>
      <c r="G302" s="454" t="s">
        <v>1319</v>
      </c>
      <c r="H302" s="455"/>
      <c r="I302" s="455"/>
      <c r="J302" s="455"/>
      <c r="K302" s="455"/>
      <c r="L302" s="455"/>
      <c r="M302" s="455"/>
      <c r="N302" s="455"/>
      <c r="O302" s="455"/>
      <c r="P302" s="455"/>
      <c r="Q302" s="455"/>
      <c r="R302" s="456"/>
      <c r="S302" s="610" t="s">
        <v>468</v>
      </c>
      <c r="T302" s="611"/>
      <c r="U302" s="278"/>
    </row>
    <row r="303" spans="2:23" ht="49.9" customHeight="1" x14ac:dyDescent="0.2">
      <c r="B303" s="396" t="s">
        <v>520</v>
      </c>
      <c r="C303" s="396"/>
      <c r="D303" s="396"/>
      <c r="E303" s="396"/>
      <c r="F303" s="396"/>
      <c r="G303" s="454" t="s">
        <v>1324</v>
      </c>
      <c r="H303" s="455"/>
      <c r="I303" s="455"/>
      <c r="J303" s="455"/>
      <c r="K303" s="455"/>
      <c r="L303" s="455"/>
      <c r="M303" s="455"/>
      <c r="N303" s="455"/>
      <c r="O303" s="455"/>
      <c r="P303" s="455"/>
      <c r="Q303" s="455"/>
      <c r="R303" s="456"/>
      <c r="S303" s="610"/>
      <c r="T303" s="611"/>
      <c r="U303" s="278"/>
    </row>
    <row r="304" spans="2:23" ht="42.6" customHeight="1" x14ac:dyDescent="0.2">
      <c r="B304" s="625" t="s">
        <v>470</v>
      </c>
      <c r="C304" s="625"/>
      <c r="D304" s="625"/>
      <c r="E304" s="625"/>
      <c r="F304" s="625"/>
      <c r="G304" s="626" t="s">
        <v>1122</v>
      </c>
      <c r="H304" s="627"/>
      <c r="I304" s="627"/>
      <c r="J304" s="627"/>
      <c r="K304" s="627"/>
      <c r="L304" s="627"/>
      <c r="M304" s="627"/>
      <c r="N304" s="627"/>
      <c r="O304" s="627"/>
      <c r="P304" s="627"/>
      <c r="Q304" s="627"/>
      <c r="R304" s="628"/>
      <c r="S304" s="610"/>
      <c r="T304" s="611"/>
      <c r="U304" s="278"/>
    </row>
    <row r="305" spans="1:24" ht="26.25" customHeight="1" x14ac:dyDescent="0.2">
      <c r="B305" s="408" t="s">
        <v>481</v>
      </c>
      <c r="C305" s="409"/>
      <c r="D305" s="409"/>
      <c r="E305" s="409"/>
      <c r="F305" s="409"/>
      <c r="G305" s="409"/>
      <c r="H305" s="409"/>
      <c r="I305" s="409"/>
      <c r="J305" s="409"/>
      <c r="K305" s="409"/>
      <c r="L305" s="409"/>
      <c r="M305" s="409"/>
      <c r="N305" s="409"/>
      <c r="O305" s="409"/>
      <c r="P305" s="409"/>
      <c r="Q305" s="409"/>
      <c r="R305" s="409"/>
      <c r="S305" s="409"/>
      <c r="T305" s="410"/>
    </row>
    <row r="306" spans="1:24" ht="23.25" customHeight="1" x14ac:dyDescent="0.2">
      <c r="B306" s="655" t="s">
        <v>46</v>
      </c>
      <c r="C306" s="656"/>
      <c r="D306" s="656"/>
      <c r="E306" s="656"/>
      <c r="F306" s="657"/>
      <c r="G306" s="451" t="s">
        <v>102</v>
      </c>
      <c r="H306" s="452"/>
      <c r="I306" s="452"/>
      <c r="J306" s="452"/>
      <c r="K306" s="452"/>
      <c r="L306" s="452"/>
      <c r="M306" s="452"/>
      <c r="N306" s="452"/>
      <c r="O306" s="452"/>
      <c r="P306" s="452"/>
      <c r="Q306" s="452"/>
      <c r="R306" s="453"/>
      <c r="S306" s="451" t="s">
        <v>103</v>
      </c>
      <c r="T306" s="453"/>
    </row>
    <row r="307" spans="1:24" ht="241.15" customHeight="1" x14ac:dyDescent="0.2">
      <c r="B307" s="481" t="s">
        <v>1294</v>
      </c>
      <c r="C307" s="482"/>
      <c r="D307" s="482"/>
      <c r="E307" s="482"/>
      <c r="F307" s="483"/>
      <c r="G307" s="665" t="s">
        <v>1290</v>
      </c>
      <c r="H307" s="666"/>
      <c r="I307" s="666"/>
      <c r="J307" s="666"/>
      <c r="K307" s="666"/>
      <c r="L307" s="666"/>
      <c r="M307" s="666"/>
      <c r="N307" s="666"/>
      <c r="O307" s="666"/>
      <c r="P307" s="666"/>
      <c r="Q307" s="666"/>
      <c r="R307" s="667"/>
      <c r="S307" s="481" t="s">
        <v>1291</v>
      </c>
      <c r="T307" s="483"/>
      <c r="U307" s="278"/>
    </row>
    <row r="308" spans="1:24" ht="409.6" customHeight="1" x14ac:dyDescent="0.2">
      <c r="B308" s="495" t="s">
        <v>1295</v>
      </c>
      <c r="C308" s="496"/>
      <c r="D308" s="496"/>
      <c r="E308" s="496"/>
      <c r="F308" s="497"/>
      <c r="G308" s="481" t="s">
        <v>1293</v>
      </c>
      <c r="H308" s="482"/>
      <c r="I308" s="482"/>
      <c r="J308" s="482"/>
      <c r="K308" s="482"/>
      <c r="L308" s="482"/>
      <c r="M308" s="482"/>
      <c r="N308" s="482"/>
      <c r="O308" s="482"/>
      <c r="P308" s="482"/>
      <c r="Q308" s="482"/>
      <c r="R308" s="483"/>
      <c r="S308" s="481" t="s">
        <v>844</v>
      </c>
      <c r="T308" s="483"/>
      <c r="U308" s="278"/>
    </row>
    <row r="309" spans="1:24" ht="51" customHeight="1" x14ac:dyDescent="0.2">
      <c r="B309" s="501"/>
      <c r="C309" s="502"/>
      <c r="D309" s="502"/>
      <c r="E309" s="502"/>
      <c r="F309" s="503"/>
      <c r="G309" s="487"/>
      <c r="H309" s="488"/>
      <c r="I309" s="488"/>
      <c r="J309" s="488"/>
      <c r="K309" s="488"/>
      <c r="L309" s="488"/>
      <c r="M309" s="488"/>
      <c r="N309" s="488"/>
      <c r="O309" s="488"/>
      <c r="P309" s="488"/>
      <c r="Q309" s="488"/>
      <c r="R309" s="489"/>
      <c r="S309" s="487"/>
      <c r="T309" s="489"/>
      <c r="U309" s="278"/>
    </row>
    <row r="310" spans="1:24" ht="206.45" customHeight="1" x14ac:dyDescent="0.2">
      <c r="B310" s="610" t="s">
        <v>1296</v>
      </c>
      <c r="C310" s="660"/>
      <c r="D310" s="660"/>
      <c r="E310" s="660"/>
      <c r="F310" s="611"/>
      <c r="G310" s="454" t="s">
        <v>1292</v>
      </c>
      <c r="H310" s="455"/>
      <c r="I310" s="455"/>
      <c r="J310" s="455"/>
      <c r="K310" s="455"/>
      <c r="L310" s="455"/>
      <c r="M310" s="455"/>
      <c r="N310" s="455"/>
      <c r="O310" s="455"/>
      <c r="P310" s="455"/>
      <c r="Q310" s="455"/>
      <c r="R310" s="456"/>
      <c r="S310" s="610" t="s">
        <v>1120</v>
      </c>
      <c r="T310" s="611"/>
      <c r="U310" s="278"/>
    </row>
    <row r="311" spans="1:24" ht="94.5" customHeight="1" x14ac:dyDescent="0.2">
      <c r="B311" s="655" t="s">
        <v>500</v>
      </c>
      <c r="C311" s="656"/>
      <c r="D311" s="656"/>
      <c r="E311" s="656"/>
      <c r="F311" s="657"/>
      <c r="G311" s="451" t="s">
        <v>102</v>
      </c>
      <c r="H311" s="452"/>
      <c r="I311" s="452"/>
      <c r="J311" s="452"/>
      <c r="K311" s="452"/>
      <c r="L311" s="452"/>
      <c r="M311" s="452"/>
      <c r="N311" s="452"/>
      <c r="O311" s="452"/>
      <c r="P311" s="452"/>
      <c r="Q311" s="452"/>
      <c r="R311" s="453"/>
      <c r="S311" s="451" t="s">
        <v>103</v>
      </c>
      <c r="T311" s="453"/>
      <c r="U311" s="278"/>
    </row>
    <row r="312" spans="1:24" ht="223.9" customHeight="1" x14ac:dyDescent="0.2">
      <c r="B312" s="481"/>
      <c r="C312" s="482"/>
      <c r="D312" s="482"/>
      <c r="E312" s="482"/>
      <c r="F312" s="483"/>
      <c r="G312" s="652" t="s">
        <v>854</v>
      </c>
      <c r="H312" s="653"/>
      <c r="I312" s="653"/>
      <c r="J312" s="653"/>
      <c r="K312" s="653"/>
      <c r="L312" s="653"/>
      <c r="M312" s="653"/>
      <c r="N312" s="653"/>
      <c r="O312" s="653"/>
      <c r="P312" s="653"/>
      <c r="Q312" s="653"/>
      <c r="R312" s="654"/>
      <c r="S312" s="639"/>
      <c r="T312" s="640"/>
      <c r="U312" s="278"/>
      <c r="W312" s="643"/>
      <c r="X312" s="643"/>
    </row>
    <row r="313" spans="1:24" ht="331.15" customHeight="1" x14ac:dyDescent="0.2">
      <c r="B313" s="484"/>
      <c r="C313" s="659"/>
      <c r="D313" s="659"/>
      <c r="E313" s="659"/>
      <c r="F313" s="486"/>
      <c r="G313" s="644" t="s">
        <v>855</v>
      </c>
      <c r="H313" s="645"/>
      <c r="I313" s="645"/>
      <c r="J313" s="645"/>
      <c r="K313" s="645"/>
      <c r="L313" s="645"/>
      <c r="M313" s="645"/>
      <c r="N313" s="645"/>
      <c r="O313" s="645"/>
      <c r="P313" s="645"/>
      <c r="Q313" s="645"/>
      <c r="R313" s="646"/>
      <c r="S313" s="641"/>
      <c r="T313" s="642"/>
      <c r="U313" s="278"/>
      <c r="W313" s="643"/>
      <c r="X313" s="643"/>
    </row>
    <row r="314" spans="1:24" ht="244.15" customHeight="1" x14ac:dyDescent="0.2">
      <c r="A314" s="53"/>
      <c r="B314" s="484"/>
      <c r="C314" s="659"/>
      <c r="D314" s="659"/>
      <c r="E314" s="659"/>
      <c r="F314" s="486"/>
      <c r="G314" s="607" t="s">
        <v>856</v>
      </c>
      <c r="H314" s="608"/>
      <c r="I314" s="608"/>
      <c r="J314" s="608"/>
      <c r="K314" s="608"/>
      <c r="L314" s="608"/>
      <c r="M314" s="608"/>
      <c r="N314" s="608"/>
      <c r="O314" s="608"/>
      <c r="P314" s="608"/>
      <c r="Q314" s="608"/>
      <c r="R314" s="608"/>
      <c r="S314" s="641"/>
      <c r="T314" s="642"/>
      <c r="U314" s="278"/>
      <c r="W314" s="643"/>
      <c r="X314" s="643"/>
    </row>
    <row r="315" spans="1:24" ht="259.89999999999998" customHeight="1" x14ac:dyDescent="0.2">
      <c r="B315" s="484"/>
      <c r="C315" s="659"/>
      <c r="D315" s="659"/>
      <c r="E315" s="659"/>
      <c r="F315" s="486"/>
      <c r="G315" s="607" t="s">
        <v>857</v>
      </c>
      <c r="H315" s="608"/>
      <c r="I315" s="608"/>
      <c r="J315" s="608"/>
      <c r="K315" s="608"/>
      <c r="L315" s="608"/>
      <c r="M315" s="608"/>
      <c r="N315" s="608"/>
      <c r="O315" s="608"/>
      <c r="P315" s="608"/>
      <c r="Q315" s="608"/>
      <c r="R315" s="608"/>
      <c r="S315" s="641"/>
      <c r="T315" s="642"/>
      <c r="U315" s="278"/>
      <c r="W315" s="643"/>
      <c r="X315" s="643"/>
    </row>
    <row r="316" spans="1:24" ht="255" customHeight="1" x14ac:dyDescent="0.2">
      <c r="B316" s="484"/>
      <c r="C316" s="659"/>
      <c r="D316" s="659"/>
      <c r="E316" s="659"/>
      <c r="F316" s="486"/>
      <c r="G316" s="647" t="s">
        <v>858</v>
      </c>
      <c r="H316" s="648"/>
      <c r="I316" s="648"/>
      <c r="J316" s="648"/>
      <c r="K316" s="648"/>
      <c r="L316" s="648"/>
      <c r="M316" s="648"/>
      <c r="N316" s="648"/>
      <c r="O316" s="648"/>
      <c r="P316" s="648"/>
      <c r="Q316" s="648"/>
      <c r="R316" s="648"/>
      <c r="S316" s="641"/>
      <c r="T316" s="642"/>
      <c r="U316" s="278"/>
      <c r="W316" s="643"/>
      <c r="X316" s="643"/>
    </row>
    <row r="317" spans="1:24" ht="226.9" customHeight="1" x14ac:dyDescent="0.2">
      <c r="B317" s="484"/>
      <c r="C317" s="659"/>
      <c r="D317" s="659"/>
      <c r="E317" s="659"/>
      <c r="F317" s="486"/>
      <c r="G317" s="607" t="s">
        <v>859</v>
      </c>
      <c r="H317" s="608"/>
      <c r="I317" s="608"/>
      <c r="J317" s="608"/>
      <c r="K317" s="608"/>
      <c r="L317" s="608"/>
      <c r="M317" s="608"/>
      <c r="N317" s="608"/>
      <c r="O317" s="608"/>
      <c r="P317" s="608"/>
      <c r="Q317" s="608"/>
      <c r="R317" s="608"/>
      <c r="S317" s="641"/>
      <c r="T317" s="642"/>
      <c r="U317" s="278"/>
      <c r="W317" s="643"/>
      <c r="X317" s="643"/>
    </row>
    <row r="318" spans="1:24" ht="208.9" customHeight="1" x14ac:dyDescent="0.2">
      <c r="B318" s="484"/>
      <c r="C318" s="659"/>
      <c r="D318" s="659"/>
      <c r="E318" s="659"/>
      <c r="F318" s="486"/>
      <c r="G318" s="647" t="s">
        <v>860</v>
      </c>
      <c r="H318" s="648"/>
      <c r="I318" s="648"/>
      <c r="J318" s="648"/>
      <c r="K318" s="648"/>
      <c r="L318" s="648"/>
      <c r="M318" s="648"/>
      <c r="N318" s="648"/>
      <c r="O318" s="648"/>
      <c r="P318" s="648"/>
      <c r="Q318" s="648"/>
      <c r="R318" s="648"/>
      <c r="S318" s="641"/>
      <c r="T318" s="642"/>
      <c r="U318" s="278"/>
      <c r="W318" s="643"/>
      <c r="X318" s="643"/>
    </row>
    <row r="319" spans="1:24" ht="210.6" customHeight="1" x14ac:dyDescent="0.2">
      <c r="B319" s="484"/>
      <c r="C319" s="659"/>
      <c r="D319" s="659"/>
      <c r="E319" s="659"/>
      <c r="F319" s="486"/>
      <c r="G319" s="607" t="s">
        <v>861</v>
      </c>
      <c r="H319" s="608"/>
      <c r="I319" s="608"/>
      <c r="J319" s="608"/>
      <c r="K319" s="608"/>
      <c r="L319" s="608"/>
      <c r="M319" s="608"/>
      <c r="N319" s="608"/>
      <c r="O319" s="608"/>
      <c r="P319" s="608"/>
      <c r="Q319" s="608"/>
      <c r="R319" s="609"/>
      <c r="S319" s="641"/>
      <c r="T319" s="642"/>
      <c r="U319" s="278"/>
      <c r="W319" s="643"/>
      <c r="X319" s="643"/>
    </row>
    <row r="320" spans="1:24" ht="152.44999999999999" customHeight="1" x14ac:dyDescent="0.2">
      <c r="B320" s="484"/>
      <c r="C320" s="659"/>
      <c r="D320" s="659"/>
      <c r="E320" s="659"/>
      <c r="F320" s="486"/>
      <c r="G320" s="607" t="s">
        <v>862</v>
      </c>
      <c r="H320" s="608"/>
      <c r="I320" s="608"/>
      <c r="J320" s="608"/>
      <c r="K320" s="608"/>
      <c r="L320" s="608"/>
      <c r="M320" s="608"/>
      <c r="N320" s="608"/>
      <c r="O320" s="608"/>
      <c r="P320" s="608"/>
      <c r="Q320" s="608"/>
      <c r="R320" s="609"/>
      <c r="S320" s="641"/>
      <c r="T320" s="642"/>
      <c r="U320" s="278"/>
      <c r="W320" s="643"/>
      <c r="X320" s="643"/>
    </row>
    <row r="321" spans="2:24" ht="315.60000000000002" customHeight="1" x14ac:dyDescent="0.2">
      <c r="B321" s="484"/>
      <c r="C321" s="659"/>
      <c r="D321" s="659"/>
      <c r="E321" s="659"/>
      <c r="F321" s="486"/>
      <c r="G321" s="607" t="s">
        <v>1222</v>
      </c>
      <c r="H321" s="637"/>
      <c r="I321" s="637"/>
      <c r="J321" s="637"/>
      <c r="K321" s="637"/>
      <c r="L321" s="637"/>
      <c r="M321" s="637"/>
      <c r="N321" s="637"/>
      <c r="O321" s="637"/>
      <c r="P321" s="637"/>
      <c r="Q321" s="637"/>
      <c r="R321" s="638"/>
      <c r="S321" s="641"/>
      <c r="T321" s="642"/>
      <c r="U321" s="278"/>
      <c r="W321" s="643"/>
      <c r="X321" s="643"/>
    </row>
    <row r="322" spans="2:24" ht="372.6" customHeight="1" x14ac:dyDescent="0.2">
      <c r="B322" s="484"/>
      <c r="C322" s="659"/>
      <c r="D322" s="659"/>
      <c r="E322" s="659"/>
      <c r="F322" s="486"/>
      <c r="G322" s="607" t="s">
        <v>1004</v>
      </c>
      <c r="H322" s="608"/>
      <c r="I322" s="608"/>
      <c r="J322" s="608"/>
      <c r="K322" s="608"/>
      <c r="L322" s="608"/>
      <c r="M322" s="608"/>
      <c r="N322" s="608"/>
      <c r="O322" s="608"/>
      <c r="P322" s="608"/>
      <c r="Q322" s="608"/>
      <c r="R322" s="608"/>
      <c r="S322" s="641"/>
      <c r="T322" s="642"/>
      <c r="U322" s="278"/>
      <c r="W322" s="643"/>
      <c r="X322" s="643"/>
    </row>
    <row r="323" spans="2:24" ht="408.6" customHeight="1" x14ac:dyDescent="0.2">
      <c r="B323" s="484"/>
      <c r="C323" s="659"/>
      <c r="D323" s="659"/>
      <c r="E323" s="659"/>
      <c r="F323" s="486"/>
      <c r="G323" s="601" t="s">
        <v>863</v>
      </c>
      <c r="H323" s="602"/>
      <c r="I323" s="602"/>
      <c r="J323" s="602"/>
      <c r="K323" s="602"/>
      <c r="L323" s="602"/>
      <c r="M323" s="602"/>
      <c r="N323" s="602"/>
      <c r="O323" s="602"/>
      <c r="P323" s="602"/>
      <c r="Q323" s="602"/>
      <c r="R323" s="603"/>
      <c r="S323" s="641"/>
      <c r="T323" s="642"/>
      <c r="U323" s="278"/>
      <c r="W323" s="643"/>
      <c r="X323" s="643"/>
    </row>
    <row r="324" spans="2:24" ht="96" customHeight="1" x14ac:dyDescent="0.2">
      <c r="B324" s="484"/>
      <c r="C324" s="659"/>
      <c r="D324" s="659"/>
      <c r="E324" s="659"/>
      <c r="F324" s="486"/>
      <c r="G324" s="604"/>
      <c r="H324" s="605"/>
      <c r="I324" s="605"/>
      <c r="J324" s="605"/>
      <c r="K324" s="605"/>
      <c r="L324" s="605"/>
      <c r="M324" s="605"/>
      <c r="N324" s="605"/>
      <c r="O324" s="605"/>
      <c r="P324" s="605"/>
      <c r="Q324" s="605"/>
      <c r="R324" s="606"/>
      <c r="S324" s="641"/>
      <c r="T324" s="642"/>
      <c r="U324" s="278"/>
      <c r="W324" s="643"/>
      <c r="X324" s="643"/>
    </row>
    <row r="325" spans="2:24" ht="217.9" customHeight="1" x14ac:dyDescent="0.2">
      <c r="B325" s="484"/>
      <c r="C325" s="659"/>
      <c r="D325" s="659"/>
      <c r="E325" s="659"/>
      <c r="F325" s="486"/>
      <c r="G325" s="607" t="s">
        <v>1032</v>
      </c>
      <c r="H325" s="608"/>
      <c r="I325" s="608"/>
      <c r="J325" s="608"/>
      <c r="K325" s="608"/>
      <c r="L325" s="608"/>
      <c r="M325" s="608"/>
      <c r="N325" s="608"/>
      <c r="O325" s="608"/>
      <c r="P325" s="608"/>
      <c r="Q325" s="608"/>
      <c r="R325" s="608"/>
      <c r="S325" s="641"/>
      <c r="T325" s="642"/>
      <c r="U325" s="278"/>
      <c r="W325" s="643"/>
      <c r="X325" s="643"/>
    </row>
    <row r="326" spans="2:24" ht="409.15" customHeight="1" x14ac:dyDescent="0.2">
      <c r="B326" s="484"/>
      <c r="C326" s="659"/>
      <c r="D326" s="659"/>
      <c r="E326" s="659"/>
      <c r="F326" s="486"/>
      <c r="G326" s="607" t="s">
        <v>1223</v>
      </c>
      <c r="H326" s="608"/>
      <c r="I326" s="608"/>
      <c r="J326" s="608"/>
      <c r="K326" s="608"/>
      <c r="L326" s="608"/>
      <c r="M326" s="608"/>
      <c r="N326" s="608"/>
      <c r="O326" s="608"/>
      <c r="P326" s="608"/>
      <c r="Q326" s="608"/>
      <c r="R326" s="609"/>
      <c r="S326" s="641"/>
      <c r="T326" s="642"/>
      <c r="U326" s="278"/>
      <c r="W326" s="643"/>
      <c r="X326" s="643"/>
    </row>
    <row r="327" spans="2:24" ht="408.6" customHeight="1" x14ac:dyDescent="0.2">
      <c r="B327" s="484"/>
      <c r="C327" s="659"/>
      <c r="D327" s="659"/>
      <c r="E327" s="659"/>
      <c r="F327" s="486"/>
      <c r="G327" s="601" t="s">
        <v>1224</v>
      </c>
      <c r="H327" s="602"/>
      <c r="I327" s="602"/>
      <c r="J327" s="602"/>
      <c r="K327" s="602"/>
      <c r="L327" s="602"/>
      <c r="M327" s="602"/>
      <c r="N327" s="602"/>
      <c r="O327" s="602"/>
      <c r="P327" s="602"/>
      <c r="Q327" s="602"/>
      <c r="R327" s="603"/>
      <c r="S327" s="641"/>
      <c r="T327" s="642"/>
      <c r="U327" s="278"/>
      <c r="W327" s="643"/>
      <c r="X327" s="643"/>
    </row>
    <row r="328" spans="2:24" ht="58.15" customHeight="1" x14ac:dyDescent="0.2">
      <c r="B328" s="484"/>
      <c r="C328" s="659"/>
      <c r="D328" s="659"/>
      <c r="E328" s="659"/>
      <c r="F328" s="486"/>
      <c r="G328" s="604"/>
      <c r="H328" s="605"/>
      <c r="I328" s="605"/>
      <c r="J328" s="605"/>
      <c r="K328" s="605"/>
      <c r="L328" s="605"/>
      <c r="M328" s="605"/>
      <c r="N328" s="605"/>
      <c r="O328" s="605"/>
      <c r="P328" s="605"/>
      <c r="Q328" s="605"/>
      <c r="R328" s="606"/>
      <c r="S328" s="641"/>
      <c r="T328" s="642"/>
      <c r="U328" s="278"/>
      <c r="W328" s="643"/>
      <c r="X328" s="643"/>
    </row>
    <row r="329" spans="2:24" ht="409.15" customHeight="1" x14ac:dyDescent="0.2">
      <c r="B329" s="484"/>
      <c r="C329" s="659"/>
      <c r="D329" s="659"/>
      <c r="E329" s="659"/>
      <c r="F329" s="486"/>
      <c r="G329" s="601" t="s">
        <v>864</v>
      </c>
      <c r="H329" s="602"/>
      <c r="I329" s="602"/>
      <c r="J329" s="602"/>
      <c r="K329" s="602"/>
      <c r="L329" s="602"/>
      <c r="M329" s="602"/>
      <c r="N329" s="602"/>
      <c r="O329" s="602"/>
      <c r="P329" s="602"/>
      <c r="Q329" s="602"/>
      <c r="R329" s="603"/>
      <c r="S329" s="641"/>
      <c r="T329" s="642"/>
      <c r="U329" s="278"/>
      <c r="W329" s="643"/>
      <c r="X329" s="643"/>
    </row>
    <row r="330" spans="2:24" ht="123" customHeight="1" x14ac:dyDescent="0.2">
      <c r="B330" s="484"/>
      <c r="C330" s="659"/>
      <c r="D330" s="659"/>
      <c r="E330" s="659"/>
      <c r="F330" s="486"/>
      <c r="G330" s="604"/>
      <c r="H330" s="605"/>
      <c r="I330" s="605"/>
      <c r="J330" s="605"/>
      <c r="K330" s="605"/>
      <c r="L330" s="605"/>
      <c r="M330" s="605"/>
      <c r="N330" s="605"/>
      <c r="O330" s="605"/>
      <c r="P330" s="605"/>
      <c r="Q330" s="605"/>
      <c r="R330" s="606"/>
      <c r="S330" s="641"/>
      <c r="T330" s="642"/>
      <c r="U330" s="278"/>
      <c r="W330" s="643"/>
      <c r="X330" s="643"/>
    </row>
    <row r="331" spans="2:24" ht="358.9" customHeight="1" x14ac:dyDescent="0.2">
      <c r="B331" s="484"/>
      <c r="C331" s="659"/>
      <c r="D331" s="659"/>
      <c r="E331" s="659"/>
      <c r="F331" s="486"/>
      <c r="G331" s="598" t="s">
        <v>1234</v>
      </c>
      <c r="H331" s="599"/>
      <c r="I331" s="599"/>
      <c r="J331" s="599"/>
      <c r="K331" s="599"/>
      <c r="L331" s="599"/>
      <c r="M331" s="599"/>
      <c r="N331" s="599"/>
      <c r="O331" s="599"/>
      <c r="P331" s="599"/>
      <c r="Q331" s="599"/>
      <c r="R331" s="600"/>
      <c r="S331" s="641"/>
      <c r="T331" s="642"/>
      <c r="U331" s="278"/>
      <c r="W331" s="643"/>
      <c r="X331" s="643"/>
    </row>
    <row r="332" spans="2:24" ht="203.45" customHeight="1" x14ac:dyDescent="0.2">
      <c r="B332" s="484"/>
      <c r="C332" s="659"/>
      <c r="D332" s="659"/>
      <c r="E332" s="659"/>
      <c r="F332" s="486"/>
      <c r="G332" s="607" t="s">
        <v>865</v>
      </c>
      <c r="H332" s="608"/>
      <c r="I332" s="608"/>
      <c r="J332" s="608"/>
      <c r="K332" s="608"/>
      <c r="L332" s="608"/>
      <c r="M332" s="608"/>
      <c r="N332" s="608"/>
      <c r="O332" s="608"/>
      <c r="P332" s="608"/>
      <c r="Q332" s="608"/>
      <c r="R332" s="608"/>
      <c r="S332" s="641"/>
      <c r="T332" s="642"/>
      <c r="U332" s="278"/>
      <c r="W332" s="643"/>
      <c r="X332" s="643"/>
    </row>
    <row r="333" spans="2:24" ht="208.15" customHeight="1" x14ac:dyDescent="0.2">
      <c r="B333" s="484"/>
      <c r="C333" s="659"/>
      <c r="D333" s="659"/>
      <c r="E333" s="659"/>
      <c r="F333" s="486"/>
      <c r="G333" s="661" t="s">
        <v>734</v>
      </c>
      <c r="H333" s="662"/>
      <c r="I333" s="662"/>
      <c r="J333" s="662"/>
      <c r="K333" s="662"/>
      <c r="L333" s="662"/>
      <c r="M333" s="662"/>
      <c r="N333" s="662"/>
      <c r="O333" s="662"/>
      <c r="P333" s="662"/>
      <c r="Q333" s="662"/>
      <c r="R333" s="662"/>
      <c r="S333" s="641"/>
      <c r="T333" s="642"/>
      <c r="U333" s="278"/>
      <c r="W333" s="643"/>
      <c r="X333" s="643"/>
    </row>
    <row r="334" spans="2:24" ht="307.89999999999998" customHeight="1" x14ac:dyDescent="0.2">
      <c r="B334" s="484"/>
      <c r="C334" s="659"/>
      <c r="D334" s="659"/>
      <c r="E334" s="659"/>
      <c r="F334" s="486"/>
      <c r="G334" s="607" t="s">
        <v>866</v>
      </c>
      <c r="H334" s="637"/>
      <c r="I334" s="637"/>
      <c r="J334" s="637"/>
      <c r="K334" s="637"/>
      <c r="L334" s="637"/>
      <c r="M334" s="637"/>
      <c r="N334" s="637"/>
      <c r="O334" s="637"/>
      <c r="P334" s="637"/>
      <c r="Q334" s="637"/>
      <c r="R334" s="638"/>
      <c r="S334" s="641"/>
      <c r="T334" s="642"/>
      <c r="U334" s="278"/>
      <c r="W334" s="643"/>
      <c r="X334" s="643"/>
    </row>
    <row r="335" spans="2:24" ht="300" customHeight="1" x14ac:dyDescent="0.2">
      <c r="B335" s="484"/>
      <c r="C335" s="659"/>
      <c r="D335" s="659"/>
      <c r="E335" s="659"/>
      <c r="F335" s="486"/>
      <c r="G335" s="607" t="s">
        <v>1146</v>
      </c>
      <c r="H335" s="637"/>
      <c r="I335" s="637"/>
      <c r="J335" s="637"/>
      <c r="K335" s="637"/>
      <c r="L335" s="637"/>
      <c r="M335" s="637"/>
      <c r="N335" s="637"/>
      <c r="O335" s="637"/>
      <c r="P335" s="637"/>
      <c r="Q335" s="637"/>
      <c r="R335" s="638"/>
      <c r="S335" s="641"/>
      <c r="T335" s="642"/>
      <c r="U335" s="278"/>
      <c r="W335" s="643"/>
      <c r="X335" s="643"/>
    </row>
    <row r="336" spans="2:24" ht="409.15" customHeight="1" x14ac:dyDescent="0.2">
      <c r="B336" s="484"/>
      <c r="C336" s="659"/>
      <c r="D336" s="659"/>
      <c r="E336" s="659"/>
      <c r="F336" s="486"/>
      <c r="G336" s="601" t="s">
        <v>1225</v>
      </c>
      <c r="H336" s="602"/>
      <c r="I336" s="602"/>
      <c r="J336" s="602"/>
      <c r="K336" s="602"/>
      <c r="L336" s="602"/>
      <c r="M336" s="602"/>
      <c r="N336" s="602"/>
      <c r="O336" s="602"/>
      <c r="P336" s="602"/>
      <c r="Q336" s="602"/>
      <c r="R336" s="603"/>
      <c r="S336" s="641"/>
      <c r="T336" s="642"/>
      <c r="U336" s="278"/>
      <c r="W336" s="643"/>
      <c r="X336" s="643"/>
    </row>
    <row r="337" spans="2:24" ht="141" customHeight="1" x14ac:dyDescent="0.2">
      <c r="B337" s="484"/>
      <c r="C337" s="659"/>
      <c r="D337" s="659"/>
      <c r="E337" s="659"/>
      <c r="F337" s="486"/>
      <c r="G337" s="604"/>
      <c r="H337" s="605"/>
      <c r="I337" s="605"/>
      <c r="J337" s="605"/>
      <c r="K337" s="605"/>
      <c r="L337" s="605"/>
      <c r="M337" s="605"/>
      <c r="N337" s="605"/>
      <c r="O337" s="605"/>
      <c r="P337" s="605"/>
      <c r="Q337" s="605"/>
      <c r="R337" s="606"/>
      <c r="S337" s="641"/>
      <c r="T337" s="642"/>
      <c r="U337" s="278"/>
      <c r="W337" s="643"/>
      <c r="X337" s="643"/>
    </row>
    <row r="338" spans="2:24" ht="205.9" customHeight="1" x14ac:dyDescent="0.2">
      <c r="B338" s="484"/>
      <c r="C338" s="659"/>
      <c r="D338" s="659"/>
      <c r="E338" s="659"/>
      <c r="F338" s="486"/>
      <c r="G338" s="607" t="s">
        <v>867</v>
      </c>
      <c r="H338" s="608"/>
      <c r="I338" s="608"/>
      <c r="J338" s="608"/>
      <c r="K338" s="608"/>
      <c r="L338" s="608"/>
      <c r="M338" s="608"/>
      <c r="N338" s="608"/>
      <c r="O338" s="608"/>
      <c r="P338" s="608"/>
      <c r="Q338" s="608"/>
      <c r="R338" s="609"/>
      <c r="S338" s="641"/>
      <c r="T338" s="642"/>
      <c r="U338" s="278"/>
      <c r="W338" s="643"/>
      <c r="X338" s="643"/>
    </row>
    <row r="339" spans="2:24" ht="360" customHeight="1" x14ac:dyDescent="0.2">
      <c r="B339" s="484"/>
      <c r="C339" s="659"/>
      <c r="D339" s="659"/>
      <c r="E339" s="659"/>
      <c r="F339" s="486"/>
      <c r="G339" s="607" t="s">
        <v>1226</v>
      </c>
      <c r="H339" s="608"/>
      <c r="I339" s="608"/>
      <c r="J339" s="608"/>
      <c r="K339" s="608"/>
      <c r="L339" s="608"/>
      <c r="M339" s="608"/>
      <c r="N339" s="608"/>
      <c r="O339" s="608"/>
      <c r="P339" s="608"/>
      <c r="Q339" s="608"/>
      <c r="R339" s="609"/>
      <c r="S339" s="641"/>
      <c r="T339" s="642"/>
      <c r="U339" s="278"/>
      <c r="W339" s="643"/>
      <c r="X339" s="643"/>
    </row>
    <row r="340" spans="2:24" ht="152.44999999999999" customHeight="1" x14ac:dyDescent="0.2">
      <c r="B340" s="484"/>
      <c r="C340" s="659"/>
      <c r="D340" s="659"/>
      <c r="E340" s="659"/>
      <c r="F340" s="486"/>
      <c r="G340" s="598" t="s">
        <v>966</v>
      </c>
      <c r="H340" s="637"/>
      <c r="I340" s="637"/>
      <c r="J340" s="637"/>
      <c r="K340" s="637"/>
      <c r="L340" s="637"/>
      <c r="M340" s="637"/>
      <c r="N340" s="637"/>
      <c r="O340" s="637"/>
      <c r="P340" s="637"/>
      <c r="Q340" s="637"/>
      <c r="R340" s="638"/>
      <c r="S340" s="641"/>
      <c r="T340" s="642"/>
      <c r="U340" s="278"/>
      <c r="W340" s="643"/>
      <c r="X340" s="643"/>
    </row>
    <row r="341" spans="2:24" ht="278.45" customHeight="1" x14ac:dyDescent="0.2">
      <c r="B341" s="484"/>
      <c r="C341" s="659"/>
      <c r="D341" s="659"/>
      <c r="E341" s="659"/>
      <c r="F341" s="486"/>
      <c r="G341" s="598" t="s">
        <v>1227</v>
      </c>
      <c r="H341" s="637"/>
      <c r="I341" s="637"/>
      <c r="J341" s="637"/>
      <c r="K341" s="637"/>
      <c r="L341" s="637"/>
      <c r="M341" s="637"/>
      <c r="N341" s="637"/>
      <c r="O341" s="637"/>
      <c r="P341" s="637"/>
      <c r="Q341" s="637"/>
      <c r="R341" s="638"/>
      <c r="S341" s="641"/>
      <c r="T341" s="642"/>
      <c r="U341" s="278"/>
      <c r="W341" s="643"/>
      <c r="X341" s="643"/>
    </row>
    <row r="342" spans="2:24" ht="187.9" customHeight="1" x14ac:dyDescent="0.2">
      <c r="B342" s="484"/>
      <c r="C342" s="659"/>
      <c r="D342" s="659"/>
      <c r="E342" s="659"/>
      <c r="F342" s="486"/>
      <c r="G342" s="598" t="s">
        <v>1147</v>
      </c>
      <c r="H342" s="637"/>
      <c r="I342" s="637"/>
      <c r="J342" s="637"/>
      <c r="K342" s="637"/>
      <c r="L342" s="637"/>
      <c r="M342" s="637"/>
      <c r="N342" s="637"/>
      <c r="O342" s="637"/>
      <c r="P342" s="637"/>
      <c r="Q342" s="637"/>
      <c r="R342" s="638"/>
      <c r="S342" s="641"/>
      <c r="T342" s="642"/>
      <c r="U342" s="278"/>
      <c r="W342" s="643"/>
      <c r="X342" s="643"/>
    </row>
    <row r="343" spans="2:24" ht="177" customHeight="1" x14ac:dyDescent="0.2">
      <c r="B343" s="484"/>
      <c r="C343" s="659"/>
      <c r="D343" s="659"/>
      <c r="E343" s="659"/>
      <c r="F343" s="486"/>
      <c r="G343" s="598" t="s">
        <v>1228</v>
      </c>
      <c r="H343" s="637"/>
      <c r="I343" s="637"/>
      <c r="J343" s="637"/>
      <c r="K343" s="637"/>
      <c r="L343" s="637"/>
      <c r="M343" s="637"/>
      <c r="N343" s="637"/>
      <c r="O343" s="637"/>
      <c r="P343" s="637"/>
      <c r="Q343" s="637"/>
      <c r="R343" s="638"/>
      <c r="S343" s="641"/>
      <c r="T343" s="642"/>
      <c r="U343" s="278"/>
      <c r="W343" s="643"/>
      <c r="X343" s="643"/>
    </row>
    <row r="344" spans="2:24" ht="165.6" customHeight="1" x14ac:dyDescent="0.2">
      <c r="B344" s="484"/>
      <c r="C344" s="659"/>
      <c r="D344" s="659"/>
      <c r="E344" s="659"/>
      <c r="F344" s="486"/>
      <c r="G344" s="598" t="s">
        <v>1148</v>
      </c>
      <c r="H344" s="637"/>
      <c r="I344" s="637"/>
      <c r="J344" s="637"/>
      <c r="K344" s="637"/>
      <c r="L344" s="637"/>
      <c r="M344" s="637"/>
      <c r="N344" s="637"/>
      <c r="O344" s="637"/>
      <c r="P344" s="637"/>
      <c r="Q344" s="637"/>
      <c r="R344" s="638"/>
      <c r="S344" s="641"/>
      <c r="T344" s="642"/>
      <c r="U344" s="278"/>
      <c r="W344" s="643"/>
      <c r="X344" s="643"/>
    </row>
    <row r="345" spans="2:24" ht="223.9" customHeight="1" x14ac:dyDescent="0.2">
      <c r="B345" s="484"/>
      <c r="C345" s="659"/>
      <c r="D345" s="659"/>
      <c r="E345" s="659"/>
      <c r="F345" s="486"/>
      <c r="G345" s="607" t="s">
        <v>868</v>
      </c>
      <c r="H345" s="608"/>
      <c r="I345" s="608"/>
      <c r="J345" s="608"/>
      <c r="K345" s="608"/>
      <c r="L345" s="608"/>
      <c r="M345" s="608"/>
      <c r="N345" s="608"/>
      <c r="O345" s="608"/>
      <c r="P345" s="608"/>
      <c r="Q345" s="608"/>
      <c r="R345" s="609"/>
      <c r="S345" s="641"/>
      <c r="T345" s="642"/>
      <c r="U345" s="278"/>
      <c r="W345" s="643"/>
      <c r="X345" s="643"/>
    </row>
    <row r="346" spans="2:24" ht="304.14999999999998" customHeight="1" x14ac:dyDescent="0.2">
      <c r="B346" s="484"/>
      <c r="C346" s="659"/>
      <c r="D346" s="659"/>
      <c r="E346" s="659"/>
      <c r="F346" s="486"/>
      <c r="G346" s="607" t="s">
        <v>1033</v>
      </c>
      <c r="H346" s="608"/>
      <c r="I346" s="608"/>
      <c r="J346" s="608"/>
      <c r="K346" s="608"/>
      <c r="L346" s="608"/>
      <c r="M346" s="608"/>
      <c r="N346" s="608"/>
      <c r="O346" s="608"/>
      <c r="P346" s="608"/>
      <c r="Q346" s="608"/>
      <c r="R346" s="609"/>
      <c r="S346" s="641"/>
      <c r="T346" s="642"/>
      <c r="U346" s="278"/>
      <c r="W346" s="643"/>
      <c r="X346" s="643"/>
    </row>
    <row r="347" spans="2:24" ht="409.15" customHeight="1" x14ac:dyDescent="0.2">
      <c r="B347" s="484"/>
      <c r="C347" s="659"/>
      <c r="D347" s="659"/>
      <c r="E347" s="659"/>
      <c r="F347" s="486"/>
      <c r="G347" s="601" t="s">
        <v>1229</v>
      </c>
      <c r="H347" s="602"/>
      <c r="I347" s="602"/>
      <c r="J347" s="602"/>
      <c r="K347" s="602"/>
      <c r="L347" s="602"/>
      <c r="M347" s="602"/>
      <c r="N347" s="602"/>
      <c r="O347" s="602"/>
      <c r="P347" s="602"/>
      <c r="Q347" s="602"/>
      <c r="R347" s="603"/>
      <c r="S347" s="641"/>
      <c r="T347" s="642"/>
      <c r="U347" s="278"/>
      <c r="W347" s="643"/>
      <c r="X347" s="643"/>
    </row>
    <row r="348" spans="2:24" ht="320.45" customHeight="1" x14ac:dyDescent="0.2">
      <c r="B348" s="484"/>
      <c r="C348" s="659"/>
      <c r="D348" s="659"/>
      <c r="E348" s="659"/>
      <c r="F348" s="486"/>
      <c r="G348" s="604"/>
      <c r="H348" s="605"/>
      <c r="I348" s="605"/>
      <c r="J348" s="605"/>
      <c r="K348" s="605"/>
      <c r="L348" s="605"/>
      <c r="M348" s="605"/>
      <c r="N348" s="605"/>
      <c r="O348" s="605"/>
      <c r="P348" s="605"/>
      <c r="Q348" s="605"/>
      <c r="R348" s="606"/>
      <c r="S348" s="641"/>
      <c r="T348" s="642"/>
      <c r="U348" s="278"/>
      <c r="W348" s="643"/>
      <c r="X348" s="643"/>
    </row>
    <row r="349" spans="2:24" ht="409.6" customHeight="1" x14ac:dyDescent="0.2">
      <c r="B349" s="484"/>
      <c r="C349" s="659"/>
      <c r="D349" s="659"/>
      <c r="E349" s="659"/>
      <c r="F349" s="486"/>
      <c r="G349" s="601" t="s">
        <v>1034</v>
      </c>
      <c r="H349" s="602"/>
      <c r="I349" s="602"/>
      <c r="J349" s="602"/>
      <c r="K349" s="602"/>
      <c r="L349" s="602"/>
      <c r="M349" s="602"/>
      <c r="N349" s="602"/>
      <c r="O349" s="602"/>
      <c r="P349" s="602"/>
      <c r="Q349" s="602"/>
      <c r="R349" s="603"/>
      <c r="S349" s="641"/>
      <c r="T349" s="642"/>
      <c r="U349" s="278"/>
      <c r="W349" s="643"/>
      <c r="X349" s="643"/>
    </row>
    <row r="350" spans="2:24" ht="117.6" customHeight="1" x14ac:dyDescent="0.2">
      <c r="B350" s="484"/>
      <c r="C350" s="659"/>
      <c r="D350" s="659"/>
      <c r="E350" s="659"/>
      <c r="F350" s="486"/>
      <c r="G350" s="604"/>
      <c r="H350" s="605"/>
      <c r="I350" s="605"/>
      <c r="J350" s="605"/>
      <c r="K350" s="605"/>
      <c r="L350" s="605"/>
      <c r="M350" s="605"/>
      <c r="N350" s="605"/>
      <c r="O350" s="605"/>
      <c r="P350" s="605"/>
      <c r="Q350" s="605"/>
      <c r="R350" s="606"/>
      <c r="S350" s="641"/>
      <c r="T350" s="642"/>
      <c r="U350" s="278"/>
      <c r="W350" s="643"/>
      <c r="X350" s="643"/>
    </row>
    <row r="351" spans="2:24" ht="326.45" customHeight="1" x14ac:dyDescent="0.2">
      <c r="B351" s="484"/>
      <c r="C351" s="659"/>
      <c r="D351" s="659"/>
      <c r="E351" s="659"/>
      <c r="F351" s="486"/>
      <c r="G351" s="607" t="s">
        <v>1107</v>
      </c>
      <c r="H351" s="608"/>
      <c r="I351" s="608"/>
      <c r="J351" s="608"/>
      <c r="K351" s="608"/>
      <c r="L351" s="608"/>
      <c r="M351" s="608"/>
      <c r="N351" s="608"/>
      <c r="O351" s="608"/>
      <c r="P351" s="608"/>
      <c r="Q351" s="608"/>
      <c r="R351" s="609"/>
      <c r="S351" s="641"/>
      <c r="T351" s="642"/>
      <c r="U351" s="278"/>
      <c r="W351" s="643"/>
      <c r="X351" s="643"/>
    </row>
    <row r="352" spans="2:24" ht="150" customHeight="1" x14ac:dyDescent="0.2">
      <c r="B352" s="484"/>
      <c r="C352" s="659"/>
      <c r="D352" s="659"/>
      <c r="E352" s="659"/>
      <c r="F352" s="486"/>
      <c r="G352" s="607" t="s">
        <v>1230</v>
      </c>
      <c r="H352" s="608"/>
      <c r="I352" s="608"/>
      <c r="J352" s="608"/>
      <c r="K352" s="608"/>
      <c r="L352" s="608"/>
      <c r="M352" s="608"/>
      <c r="N352" s="608"/>
      <c r="O352" s="608"/>
      <c r="P352" s="608"/>
      <c r="Q352" s="608"/>
      <c r="R352" s="609"/>
      <c r="S352" s="641"/>
      <c r="T352" s="642"/>
      <c r="U352" s="278"/>
      <c r="W352" s="643"/>
      <c r="X352" s="643"/>
    </row>
    <row r="353" spans="2:24" ht="232.15" customHeight="1" x14ac:dyDescent="0.2">
      <c r="B353" s="484"/>
      <c r="C353" s="659"/>
      <c r="D353" s="659"/>
      <c r="E353" s="659"/>
      <c r="F353" s="486"/>
      <c r="G353" s="607" t="s">
        <v>1231</v>
      </c>
      <c r="H353" s="608"/>
      <c r="I353" s="608"/>
      <c r="J353" s="608"/>
      <c r="K353" s="608"/>
      <c r="L353" s="608"/>
      <c r="M353" s="608"/>
      <c r="N353" s="608"/>
      <c r="O353" s="608"/>
      <c r="P353" s="608"/>
      <c r="Q353" s="608"/>
      <c r="R353" s="609"/>
      <c r="S353" s="641"/>
      <c r="T353" s="642"/>
      <c r="U353" s="278"/>
      <c r="W353" s="643"/>
      <c r="X353" s="643"/>
    </row>
    <row r="354" spans="2:24" ht="339" customHeight="1" x14ac:dyDescent="0.2">
      <c r="B354" s="484"/>
      <c r="C354" s="659"/>
      <c r="D354" s="659"/>
      <c r="E354" s="659"/>
      <c r="F354" s="486"/>
      <c r="G354" s="607" t="s">
        <v>869</v>
      </c>
      <c r="H354" s="608"/>
      <c r="I354" s="608"/>
      <c r="J354" s="608"/>
      <c r="K354" s="608"/>
      <c r="L354" s="608"/>
      <c r="M354" s="608"/>
      <c r="N354" s="608"/>
      <c r="O354" s="608"/>
      <c r="P354" s="608"/>
      <c r="Q354" s="608"/>
      <c r="R354" s="609"/>
      <c r="S354" s="641"/>
      <c r="T354" s="642"/>
      <c r="U354" s="278"/>
      <c r="W354" s="643"/>
      <c r="X354" s="643"/>
    </row>
    <row r="355" spans="2:24" ht="272.45" customHeight="1" x14ac:dyDescent="0.2">
      <c r="B355" s="484"/>
      <c r="C355" s="659"/>
      <c r="D355" s="659"/>
      <c r="E355" s="659"/>
      <c r="F355" s="486"/>
      <c r="G355" s="607" t="s">
        <v>870</v>
      </c>
      <c r="H355" s="608"/>
      <c r="I355" s="608"/>
      <c r="J355" s="608"/>
      <c r="K355" s="608"/>
      <c r="L355" s="608"/>
      <c r="M355" s="608"/>
      <c r="N355" s="608"/>
      <c r="O355" s="608"/>
      <c r="P355" s="608"/>
      <c r="Q355" s="608"/>
      <c r="R355" s="609"/>
      <c r="S355" s="641"/>
      <c r="T355" s="642"/>
      <c r="U355" s="278"/>
      <c r="W355" s="643"/>
      <c r="X355" s="643"/>
    </row>
    <row r="356" spans="2:24" ht="263.45" customHeight="1" x14ac:dyDescent="0.2">
      <c r="B356" s="484"/>
      <c r="C356" s="659"/>
      <c r="D356" s="659"/>
      <c r="E356" s="659"/>
      <c r="F356" s="486"/>
      <c r="G356" s="607" t="s">
        <v>1020</v>
      </c>
      <c r="H356" s="608"/>
      <c r="I356" s="608"/>
      <c r="J356" s="608"/>
      <c r="K356" s="608"/>
      <c r="L356" s="608"/>
      <c r="M356" s="608"/>
      <c r="N356" s="608"/>
      <c r="O356" s="608"/>
      <c r="P356" s="608"/>
      <c r="Q356" s="608"/>
      <c r="R356" s="609"/>
      <c r="S356" s="641"/>
      <c r="T356" s="642"/>
      <c r="U356" s="278"/>
      <c r="W356" s="643"/>
      <c r="X356" s="643"/>
    </row>
    <row r="357" spans="2:24" ht="393.6" customHeight="1" x14ac:dyDescent="0.2">
      <c r="B357" s="484"/>
      <c r="C357" s="659"/>
      <c r="D357" s="659"/>
      <c r="E357" s="659"/>
      <c r="F357" s="486"/>
      <c r="G357" s="607" t="s">
        <v>1232</v>
      </c>
      <c r="H357" s="608"/>
      <c r="I357" s="608"/>
      <c r="J357" s="608"/>
      <c r="K357" s="608"/>
      <c r="L357" s="608"/>
      <c r="M357" s="608"/>
      <c r="N357" s="608"/>
      <c r="O357" s="608"/>
      <c r="P357" s="608"/>
      <c r="Q357" s="608"/>
      <c r="R357" s="609"/>
      <c r="S357" s="641"/>
      <c r="T357" s="642"/>
      <c r="U357" s="278"/>
      <c r="W357" s="643"/>
      <c r="X357" s="643"/>
    </row>
    <row r="358" spans="2:24" ht="325.89999999999998" customHeight="1" x14ac:dyDescent="0.2">
      <c r="B358" s="484"/>
      <c r="C358" s="659"/>
      <c r="D358" s="659"/>
      <c r="E358" s="659"/>
      <c r="F358" s="486"/>
      <c r="G358" s="607" t="s">
        <v>871</v>
      </c>
      <c r="H358" s="608"/>
      <c r="I358" s="608"/>
      <c r="J358" s="608"/>
      <c r="K358" s="608"/>
      <c r="L358" s="608"/>
      <c r="M358" s="608"/>
      <c r="N358" s="608"/>
      <c r="O358" s="608"/>
      <c r="P358" s="608"/>
      <c r="Q358" s="608"/>
      <c r="R358" s="609"/>
      <c r="S358" s="641"/>
      <c r="T358" s="642"/>
      <c r="U358" s="278"/>
      <c r="W358" s="643"/>
      <c r="X358" s="643"/>
    </row>
    <row r="359" spans="2:24" ht="250.15" customHeight="1" x14ac:dyDescent="0.2">
      <c r="B359" s="484"/>
      <c r="C359" s="659"/>
      <c r="D359" s="659"/>
      <c r="E359" s="659"/>
      <c r="F359" s="486"/>
      <c r="G359" s="607" t="s">
        <v>872</v>
      </c>
      <c r="H359" s="608"/>
      <c r="I359" s="608"/>
      <c r="J359" s="608"/>
      <c r="K359" s="608"/>
      <c r="L359" s="608"/>
      <c r="M359" s="608"/>
      <c r="N359" s="608"/>
      <c r="O359" s="608"/>
      <c r="P359" s="608"/>
      <c r="Q359" s="608"/>
      <c r="R359" s="609"/>
      <c r="S359" s="641"/>
      <c r="T359" s="642"/>
      <c r="U359" s="278"/>
      <c r="W359" s="643"/>
      <c r="X359" s="643"/>
    </row>
    <row r="360" spans="2:24" ht="225.6" customHeight="1" x14ac:dyDescent="0.2">
      <c r="B360" s="484"/>
      <c r="C360" s="659"/>
      <c r="D360" s="659"/>
      <c r="E360" s="659"/>
      <c r="F360" s="486"/>
      <c r="G360" s="607" t="s">
        <v>873</v>
      </c>
      <c r="H360" s="608"/>
      <c r="I360" s="608"/>
      <c r="J360" s="608"/>
      <c r="K360" s="608"/>
      <c r="L360" s="608"/>
      <c r="M360" s="608"/>
      <c r="N360" s="608"/>
      <c r="O360" s="608"/>
      <c r="P360" s="608"/>
      <c r="Q360" s="608"/>
      <c r="R360" s="609"/>
      <c r="S360" s="641"/>
      <c r="T360" s="642"/>
      <c r="U360" s="278"/>
      <c r="W360" s="643"/>
      <c r="X360" s="643"/>
    </row>
    <row r="361" spans="2:24" ht="135.6" customHeight="1" x14ac:dyDescent="0.2">
      <c r="B361" s="484"/>
      <c r="C361" s="659"/>
      <c r="D361" s="659"/>
      <c r="E361" s="659"/>
      <c r="F361" s="486"/>
      <c r="G361" s="661" t="s">
        <v>845</v>
      </c>
      <c r="H361" s="662"/>
      <c r="I361" s="662"/>
      <c r="J361" s="662"/>
      <c r="K361" s="662"/>
      <c r="L361" s="662"/>
      <c r="M361" s="662"/>
      <c r="N361" s="662"/>
      <c r="O361" s="662"/>
      <c r="P361" s="662"/>
      <c r="Q361" s="662"/>
      <c r="R361" s="663"/>
      <c r="S361" s="641"/>
      <c r="T361" s="642"/>
      <c r="U361" s="278"/>
      <c r="W361" s="643"/>
      <c r="X361" s="643"/>
    </row>
    <row r="362" spans="2:24" ht="135.6" customHeight="1" x14ac:dyDescent="0.2">
      <c r="B362" s="484"/>
      <c r="C362" s="659"/>
      <c r="D362" s="659"/>
      <c r="E362" s="659"/>
      <c r="F362" s="486"/>
      <c r="G362" s="607" t="s">
        <v>984</v>
      </c>
      <c r="H362" s="608"/>
      <c r="I362" s="608"/>
      <c r="J362" s="608"/>
      <c r="K362" s="608"/>
      <c r="L362" s="608"/>
      <c r="M362" s="608"/>
      <c r="N362" s="608"/>
      <c r="O362" s="608"/>
      <c r="P362" s="608"/>
      <c r="Q362" s="608"/>
      <c r="R362" s="609"/>
      <c r="S362" s="641"/>
      <c r="T362" s="642"/>
      <c r="U362" s="278"/>
      <c r="W362" s="643"/>
      <c r="X362" s="643"/>
    </row>
    <row r="363" spans="2:24" ht="408.6" customHeight="1" x14ac:dyDescent="0.2">
      <c r="B363" s="484"/>
      <c r="C363" s="659"/>
      <c r="D363" s="659"/>
      <c r="E363" s="659"/>
      <c r="F363" s="486"/>
      <c r="G363" s="601" t="s">
        <v>1233</v>
      </c>
      <c r="H363" s="602"/>
      <c r="I363" s="602"/>
      <c r="J363" s="602"/>
      <c r="K363" s="602"/>
      <c r="L363" s="602"/>
      <c r="M363" s="602"/>
      <c r="N363" s="602"/>
      <c r="O363" s="602"/>
      <c r="P363" s="602"/>
      <c r="Q363" s="602"/>
      <c r="R363" s="603"/>
      <c r="S363" s="641"/>
      <c r="T363" s="642"/>
      <c r="U363" s="278"/>
      <c r="W363" s="643"/>
      <c r="X363" s="643"/>
    </row>
    <row r="364" spans="2:24" ht="227.45" customHeight="1" thickBot="1" x14ac:dyDescent="0.25">
      <c r="B364" s="484"/>
      <c r="C364" s="659"/>
      <c r="D364" s="659"/>
      <c r="E364" s="659"/>
      <c r="F364" s="486"/>
      <c r="G364" s="649"/>
      <c r="H364" s="650"/>
      <c r="I364" s="650"/>
      <c r="J364" s="650"/>
      <c r="K364" s="650"/>
      <c r="L364" s="650"/>
      <c r="M364" s="650"/>
      <c r="N364" s="650"/>
      <c r="O364" s="650"/>
      <c r="P364" s="650"/>
      <c r="Q364" s="650"/>
      <c r="R364" s="651"/>
      <c r="S364" s="641"/>
      <c r="T364" s="642"/>
      <c r="U364" s="278"/>
      <c r="W364" s="643"/>
      <c r="X364" s="643"/>
    </row>
    <row r="365" spans="2:24" ht="237" customHeight="1" thickBot="1" x14ac:dyDescent="0.25">
      <c r="B365" s="484"/>
      <c r="C365" s="659"/>
      <c r="D365" s="659"/>
      <c r="E365" s="659"/>
      <c r="F365" s="486"/>
      <c r="G365" s="634" t="s">
        <v>1005</v>
      </c>
      <c r="H365" s="635"/>
      <c r="I365" s="635"/>
      <c r="J365" s="635"/>
      <c r="K365" s="635"/>
      <c r="L365" s="635"/>
      <c r="M365" s="635"/>
      <c r="N365" s="635"/>
      <c r="O365" s="635"/>
      <c r="P365" s="635"/>
      <c r="Q365" s="635"/>
      <c r="R365" s="636"/>
      <c r="S365" s="641"/>
      <c r="T365" s="642"/>
      <c r="U365" s="278"/>
      <c r="W365" s="643"/>
      <c r="X365" s="643"/>
    </row>
    <row r="366" spans="2:24" ht="244.15" customHeight="1" x14ac:dyDescent="0.2">
      <c r="B366" s="484"/>
      <c r="C366" s="659"/>
      <c r="D366" s="659"/>
      <c r="E366" s="659"/>
      <c r="F366" s="486"/>
      <c r="G366" s="634" t="s">
        <v>1005</v>
      </c>
      <c r="H366" s="635"/>
      <c r="I366" s="635"/>
      <c r="J366" s="635"/>
      <c r="K366" s="635"/>
      <c r="L366" s="635"/>
      <c r="M366" s="635"/>
      <c r="N366" s="635"/>
      <c r="O366" s="635"/>
      <c r="P366" s="635"/>
      <c r="Q366" s="635"/>
      <c r="R366" s="636"/>
      <c r="S366" s="641"/>
      <c r="T366" s="642"/>
      <c r="U366" s="278"/>
      <c r="W366" s="110"/>
      <c r="X366" s="110"/>
    </row>
    <row r="367" spans="2:24" ht="114.6" customHeight="1" x14ac:dyDescent="0.2">
      <c r="B367" s="388" t="s">
        <v>878</v>
      </c>
      <c r="C367" s="389"/>
      <c r="D367" s="389"/>
      <c r="E367" s="389"/>
      <c r="F367" s="390"/>
      <c r="G367" s="664" t="s">
        <v>874</v>
      </c>
      <c r="H367" s="664"/>
      <c r="I367" s="664"/>
      <c r="J367" s="664"/>
      <c r="K367" s="664"/>
      <c r="L367" s="664"/>
      <c r="M367" s="664"/>
      <c r="N367" s="664"/>
      <c r="O367" s="664"/>
      <c r="P367" s="664"/>
      <c r="Q367" s="664"/>
      <c r="R367" s="664"/>
      <c r="S367" s="639"/>
      <c r="T367" s="640"/>
      <c r="U367" s="278"/>
    </row>
    <row r="368" spans="2:24" ht="169.9" customHeight="1" x14ac:dyDescent="0.2">
      <c r="B368" s="388" t="s">
        <v>879</v>
      </c>
      <c r="C368" s="389"/>
      <c r="D368" s="389"/>
      <c r="E368" s="389"/>
      <c r="F368" s="390"/>
      <c r="G368" s="391" t="s">
        <v>875</v>
      </c>
      <c r="H368" s="391"/>
      <c r="I368" s="391"/>
      <c r="J368" s="391"/>
      <c r="K368" s="391"/>
      <c r="L368" s="391"/>
      <c r="M368" s="391"/>
      <c r="N368" s="391"/>
      <c r="O368" s="391"/>
      <c r="P368" s="391"/>
      <c r="Q368" s="391"/>
      <c r="R368" s="391"/>
      <c r="S368" s="641"/>
      <c r="T368" s="642"/>
      <c r="U368" s="278"/>
    </row>
    <row r="369" spans="1:21" ht="165" customHeight="1" x14ac:dyDescent="0.2">
      <c r="B369" s="388" t="s">
        <v>880</v>
      </c>
      <c r="C369" s="389"/>
      <c r="D369" s="389"/>
      <c r="E369" s="389"/>
      <c r="F369" s="390"/>
      <c r="G369" s="391" t="s">
        <v>876</v>
      </c>
      <c r="H369" s="391"/>
      <c r="I369" s="391"/>
      <c r="J369" s="391"/>
      <c r="K369" s="391"/>
      <c r="L369" s="391"/>
      <c r="M369" s="391"/>
      <c r="N369" s="391"/>
      <c r="O369" s="391"/>
      <c r="P369" s="391"/>
      <c r="Q369" s="391"/>
      <c r="R369" s="391"/>
      <c r="S369" s="641"/>
      <c r="T369" s="642"/>
      <c r="U369" s="278"/>
    </row>
    <row r="370" spans="1:21" ht="93.6" customHeight="1" x14ac:dyDescent="0.2">
      <c r="B370" s="388" t="s">
        <v>881</v>
      </c>
      <c r="C370" s="389"/>
      <c r="D370" s="389"/>
      <c r="E370" s="389"/>
      <c r="F370" s="390"/>
      <c r="G370" s="391" t="s">
        <v>877</v>
      </c>
      <c r="H370" s="391"/>
      <c r="I370" s="391"/>
      <c r="J370" s="391"/>
      <c r="K370" s="391"/>
      <c r="L370" s="391"/>
      <c r="M370" s="391"/>
      <c r="N370" s="391"/>
      <c r="O370" s="391"/>
      <c r="P370" s="391"/>
      <c r="Q370" s="391"/>
      <c r="R370" s="391"/>
      <c r="S370" s="641"/>
      <c r="T370" s="642"/>
      <c r="U370" s="278"/>
    </row>
    <row r="371" spans="1:21" ht="127.15" customHeight="1" x14ac:dyDescent="0.2">
      <c r="B371" s="388" t="s">
        <v>882</v>
      </c>
      <c r="C371" s="389"/>
      <c r="D371" s="389"/>
      <c r="E371" s="389"/>
      <c r="F371" s="390"/>
      <c r="G371" s="391" t="s">
        <v>1149</v>
      </c>
      <c r="H371" s="391"/>
      <c r="I371" s="391"/>
      <c r="J371" s="391"/>
      <c r="K371" s="391"/>
      <c r="L371" s="391"/>
      <c r="M371" s="391"/>
      <c r="N371" s="391"/>
      <c r="O371" s="391"/>
      <c r="P371" s="391"/>
      <c r="Q371" s="391"/>
      <c r="R371" s="391"/>
      <c r="S371" s="641"/>
      <c r="T371" s="642"/>
      <c r="U371" s="278"/>
    </row>
    <row r="372" spans="1:21" ht="246" customHeight="1" x14ac:dyDescent="0.2">
      <c r="B372" s="388" t="s">
        <v>883</v>
      </c>
      <c r="C372" s="389"/>
      <c r="D372" s="389"/>
      <c r="E372" s="389"/>
      <c r="F372" s="390"/>
      <c r="G372" s="391" t="s">
        <v>1117</v>
      </c>
      <c r="H372" s="391"/>
      <c r="I372" s="391"/>
      <c r="J372" s="391"/>
      <c r="K372" s="391"/>
      <c r="L372" s="391"/>
      <c r="M372" s="391"/>
      <c r="N372" s="391"/>
      <c r="O372" s="391"/>
      <c r="P372" s="391"/>
      <c r="Q372" s="391"/>
      <c r="R372" s="391"/>
      <c r="S372" s="641"/>
      <c r="T372" s="642"/>
      <c r="U372" s="278"/>
    </row>
    <row r="373" spans="1:21" ht="147.6" customHeight="1" x14ac:dyDescent="0.2">
      <c r="B373" s="388" t="s">
        <v>884</v>
      </c>
      <c r="C373" s="389"/>
      <c r="D373" s="389"/>
      <c r="E373" s="389"/>
      <c r="F373" s="390"/>
      <c r="G373" s="391" t="s">
        <v>1235</v>
      </c>
      <c r="H373" s="391"/>
      <c r="I373" s="391"/>
      <c r="J373" s="391"/>
      <c r="K373" s="391"/>
      <c r="L373" s="391"/>
      <c r="M373" s="391"/>
      <c r="N373" s="391"/>
      <c r="O373" s="391"/>
      <c r="P373" s="391"/>
      <c r="Q373" s="391"/>
      <c r="R373" s="391"/>
      <c r="S373" s="641"/>
      <c r="T373" s="642"/>
      <c r="U373" s="278"/>
    </row>
    <row r="374" spans="1:21" ht="129.6" customHeight="1" x14ac:dyDescent="0.2">
      <c r="B374" s="388" t="s">
        <v>885</v>
      </c>
      <c r="C374" s="389"/>
      <c r="D374" s="389"/>
      <c r="E374" s="389"/>
      <c r="F374" s="390"/>
      <c r="G374" s="391" t="s">
        <v>1236</v>
      </c>
      <c r="H374" s="391"/>
      <c r="I374" s="391"/>
      <c r="J374" s="391"/>
      <c r="K374" s="391"/>
      <c r="L374" s="391"/>
      <c r="M374" s="391"/>
      <c r="N374" s="391"/>
      <c r="O374" s="391"/>
      <c r="P374" s="391"/>
      <c r="Q374" s="391"/>
      <c r="R374" s="391"/>
      <c r="S374" s="641"/>
      <c r="T374" s="642"/>
      <c r="U374" s="278"/>
    </row>
    <row r="375" spans="1:21" ht="102.6" customHeight="1" x14ac:dyDescent="0.2">
      <c r="B375" s="388" t="s">
        <v>886</v>
      </c>
      <c r="C375" s="389"/>
      <c r="D375" s="389"/>
      <c r="E375" s="389"/>
      <c r="F375" s="390"/>
      <c r="G375" s="391" t="s">
        <v>1118</v>
      </c>
      <c r="H375" s="391"/>
      <c r="I375" s="391"/>
      <c r="J375" s="391"/>
      <c r="K375" s="391"/>
      <c r="L375" s="391"/>
      <c r="M375" s="391"/>
      <c r="N375" s="391"/>
      <c r="O375" s="391"/>
      <c r="P375" s="391"/>
      <c r="Q375" s="391"/>
      <c r="R375" s="391"/>
      <c r="S375" s="641"/>
      <c r="T375" s="642"/>
      <c r="U375" s="278"/>
    </row>
    <row r="376" spans="1:21" ht="98.45" customHeight="1" x14ac:dyDescent="0.2">
      <c r="B376" s="388" t="s">
        <v>887</v>
      </c>
      <c r="C376" s="389"/>
      <c r="D376" s="389"/>
      <c r="E376" s="389"/>
      <c r="F376" s="390"/>
      <c r="G376" s="391" t="s">
        <v>1237</v>
      </c>
      <c r="H376" s="391"/>
      <c r="I376" s="391"/>
      <c r="J376" s="391"/>
      <c r="K376" s="391"/>
      <c r="L376" s="391"/>
      <c r="M376" s="391"/>
      <c r="N376" s="391"/>
      <c r="O376" s="391"/>
      <c r="P376" s="391"/>
      <c r="Q376" s="391"/>
      <c r="R376" s="391"/>
      <c r="S376" s="641"/>
      <c r="T376" s="642"/>
      <c r="U376" s="278"/>
    </row>
    <row r="377" spans="1:21" ht="129.6" customHeight="1" x14ac:dyDescent="0.2">
      <c r="B377" s="388" t="s">
        <v>888</v>
      </c>
      <c r="C377" s="389"/>
      <c r="D377" s="389"/>
      <c r="E377" s="389"/>
      <c r="F377" s="390"/>
      <c r="G377" s="391" t="s">
        <v>1238</v>
      </c>
      <c r="H377" s="391"/>
      <c r="I377" s="391"/>
      <c r="J377" s="391"/>
      <c r="K377" s="391"/>
      <c r="L377" s="391"/>
      <c r="M377" s="391"/>
      <c r="N377" s="391"/>
      <c r="O377" s="391"/>
      <c r="P377" s="391"/>
      <c r="Q377" s="391"/>
      <c r="R377" s="391"/>
      <c r="S377" s="641"/>
      <c r="T377" s="642"/>
      <c r="U377" s="278"/>
    </row>
    <row r="378" spans="1:21" ht="97.15" customHeight="1" x14ac:dyDescent="0.2">
      <c r="B378" s="388" t="s">
        <v>1006</v>
      </c>
      <c r="C378" s="389"/>
      <c r="D378" s="389"/>
      <c r="E378" s="389"/>
      <c r="F378" s="390"/>
      <c r="G378" s="391" t="s">
        <v>1239</v>
      </c>
      <c r="H378" s="391"/>
      <c r="I378" s="391"/>
      <c r="J378" s="391"/>
      <c r="K378" s="391"/>
      <c r="L378" s="391"/>
      <c r="M378" s="391"/>
      <c r="N378" s="391"/>
      <c r="O378" s="391"/>
      <c r="P378" s="391"/>
      <c r="Q378" s="391"/>
      <c r="R378" s="391"/>
      <c r="S378" s="641"/>
      <c r="T378" s="642"/>
      <c r="U378" s="278"/>
    </row>
    <row r="379" spans="1:21" ht="94.9" customHeight="1" x14ac:dyDescent="0.2">
      <c r="B379" s="388" t="s">
        <v>1119</v>
      </c>
      <c r="C379" s="389"/>
      <c r="D379" s="389"/>
      <c r="E379" s="389"/>
      <c r="F379" s="390"/>
      <c r="G379" s="391" t="s">
        <v>1240</v>
      </c>
      <c r="H379" s="391"/>
      <c r="I379" s="391"/>
      <c r="J379" s="391"/>
      <c r="K379" s="391"/>
      <c r="L379" s="391"/>
      <c r="M379" s="391"/>
      <c r="N379" s="391"/>
      <c r="O379" s="391"/>
      <c r="P379" s="391"/>
      <c r="Q379" s="391"/>
      <c r="R379" s="391"/>
      <c r="S379" s="641"/>
      <c r="T379" s="642"/>
      <c r="U379" s="278"/>
    </row>
    <row r="380" spans="1:21" ht="116.45" customHeight="1" x14ac:dyDescent="0.2">
      <c r="B380" s="388" t="s">
        <v>1244</v>
      </c>
      <c r="C380" s="389"/>
      <c r="D380" s="389"/>
      <c r="E380" s="389"/>
      <c r="F380" s="390"/>
      <c r="G380" s="391" t="s">
        <v>1241</v>
      </c>
      <c r="H380" s="391"/>
      <c r="I380" s="391"/>
      <c r="J380" s="391"/>
      <c r="K380" s="391"/>
      <c r="L380" s="391"/>
      <c r="M380" s="391"/>
      <c r="N380" s="391"/>
      <c r="O380" s="391"/>
      <c r="P380" s="391"/>
      <c r="Q380" s="391"/>
      <c r="R380" s="391"/>
      <c r="S380" s="641"/>
      <c r="T380" s="642"/>
      <c r="U380" s="278"/>
    </row>
    <row r="381" spans="1:21" ht="116.45" customHeight="1" x14ac:dyDescent="0.2">
      <c r="B381" s="388" t="s">
        <v>1243</v>
      </c>
      <c r="C381" s="389"/>
      <c r="D381" s="389"/>
      <c r="E381" s="389"/>
      <c r="F381" s="390"/>
      <c r="G381" s="391" t="s">
        <v>1242</v>
      </c>
      <c r="H381" s="391"/>
      <c r="I381" s="391"/>
      <c r="J381" s="391"/>
      <c r="K381" s="391"/>
      <c r="L381" s="391"/>
      <c r="M381" s="391"/>
      <c r="N381" s="391"/>
      <c r="O381" s="391"/>
      <c r="P381" s="391"/>
      <c r="Q381" s="391"/>
      <c r="R381" s="391"/>
      <c r="S381" s="697"/>
      <c r="T381" s="698"/>
      <c r="U381" s="278"/>
    </row>
    <row r="382" spans="1:21" ht="15" customHeight="1" x14ac:dyDescent="0.2">
      <c r="B382" s="690" t="s">
        <v>111</v>
      </c>
      <c r="C382" s="691"/>
      <c r="D382" s="691"/>
      <c r="E382" s="691"/>
      <c r="F382" s="691"/>
      <c r="G382" s="691"/>
      <c r="H382" s="691"/>
      <c r="I382" s="691"/>
      <c r="J382" s="691"/>
      <c r="K382" s="691"/>
      <c r="L382" s="691"/>
      <c r="M382" s="691"/>
      <c r="N382" s="691"/>
      <c r="O382" s="691"/>
      <c r="P382" s="691"/>
      <c r="Q382" s="691"/>
      <c r="R382" s="691"/>
      <c r="S382" s="691"/>
      <c r="T382" s="692"/>
    </row>
    <row r="383" spans="1:21" ht="15" customHeight="1" x14ac:dyDescent="0.2">
      <c r="B383" s="451" t="s">
        <v>46</v>
      </c>
      <c r="C383" s="452"/>
      <c r="D383" s="452"/>
      <c r="E383" s="452"/>
      <c r="F383" s="453"/>
      <c r="G383" s="457" t="s">
        <v>102</v>
      </c>
      <c r="H383" s="696"/>
      <c r="I383" s="696"/>
      <c r="J383" s="696"/>
      <c r="K383" s="696"/>
      <c r="L383" s="696"/>
      <c r="M383" s="696"/>
      <c r="N383" s="696"/>
      <c r="O383" s="696"/>
      <c r="P383" s="696"/>
      <c r="Q383" s="696"/>
      <c r="R383" s="458"/>
      <c r="S383" s="457" t="s">
        <v>103</v>
      </c>
      <c r="T383" s="458"/>
    </row>
    <row r="384" spans="1:21" ht="133.15" customHeight="1" x14ac:dyDescent="0.2">
      <c r="A384" s="54"/>
      <c r="B384" s="610" t="s">
        <v>537</v>
      </c>
      <c r="C384" s="660"/>
      <c r="D384" s="660"/>
      <c r="E384" s="660"/>
      <c r="F384" s="611"/>
      <c r="G384" s="689" t="s">
        <v>1403</v>
      </c>
      <c r="H384" s="689"/>
      <c r="I384" s="689"/>
      <c r="J384" s="689"/>
      <c r="K384" s="689"/>
      <c r="L384" s="689"/>
      <c r="M384" s="689"/>
      <c r="N384" s="689"/>
      <c r="O384" s="689"/>
      <c r="P384" s="689"/>
      <c r="Q384" s="689"/>
      <c r="R384" s="689"/>
      <c r="S384" s="661" t="s">
        <v>1404</v>
      </c>
      <c r="T384" s="663"/>
    </row>
    <row r="385" spans="1:20" ht="188.45" customHeight="1" x14ac:dyDescent="0.2">
      <c r="A385" s="54"/>
      <c r="B385" s="610" t="s">
        <v>538</v>
      </c>
      <c r="C385" s="660"/>
      <c r="D385" s="660"/>
      <c r="E385" s="660"/>
      <c r="F385" s="611"/>
      <c r="G385" s="693" t="s">
        <v>1405</v>
      </c>
      <c r="H385" s="694"/>
      <c r="I385" s="694"/>
      <c r="J385" s="694"/>
      <c r="K385" s="694"/>
      <c r="L385" s="694"/>
      <c r="M385" s="694"/>
      <c r="N385" s="694"/>
      <c r="O385" s="694"/>
      <c r="P385" s="694"/>
      <c r="Q385" s="694"/>
      <c r="R385" s="695"/>
      <c r="S385" s="661" t="str">
        <f>+S384</f>
        <v>Actividades de Operación ejecutadas en la Fase de Construcción
Semana 280</v>
      </c>
      <c r="T385" s="663"/>
    </row>
    <row r="386" spans="1:20" ht="228.6" customHeight="1" x14ac:dyDescent="0.2">
      <c r="A386" s="54"/>
      <c r="B386" s="610" t="s">
        <v>539</v>
      </c>
      <c r="C386" s="660"/>
      <c r="D386" s="660"/>
      <c r="E386" s="660"/>
      <c r="F386" s="611"/>
      <c r="G386" s="677" t="s">
        <v>1408</v>
      </c>
      <c r="H386" s="678"/>
      <c r="I386" s="678"/>
      <c r="J386" s="678"/>
      <c r="K386" s="678"/>
      <c r="L386" s="678"/>
      <c r="M386" s="678"/>
      <c r="N386" s="678"/>
      <c r="O386" s="678"/>
      <c r="P386" s="678"/>
      <c r="Q386" s="678"/>
      <c r="R386" s="679"/>
      <c r="S386" s="661" t="str">
        <f>+S384</f>
        <v>Actividades de Operación ejecutadas en la Fase de Construcción
Semana 280</v>
      </c>
      <c r="T386" s="663"/>
    </row>
    <row r="387" spans="1:20" ht="162.6" customHeight="1" x14ac:dyDescent="0.2">
      <c r="A387" s="54"/>
      <c r="B387" s="610" t="s">
        <v>540</v>
      </c>
      <c r="C387" s="660"/>
      <c r="D387" s="660"/>
      <c r="E387" s="660"/>
      <c r="F387" s="611"/>
      <c r="G387" s="677" t="s">
        <v>1406</v>
      </c>
      <c r="H387" s="678"/>
      <c r="I387" s="678"/>
      <c r="J387" s="678"/>
      <c r="K387" s="678"/>
      <c r="L387" s="678"/>
      <c r="M387" s="678"/>
      <c r="N387" s="678"/>
      <c r="O387" s="678"/>
      <c r="P387" s="678"/>
      <c r="Q387" s="678"/>
      <c r="R387" s="679"/>
      <c r="S387" s="661" t="str">
        <f>+S386</f>
        <v>Actividades de Operación ejecutadas en la Fase de Construcción
Semana 280</v>
      </c>
      <c r="T387" s="663"/>
    </row>
    <row r="388" spans="1:20" ht="142.15" customHeight="1" x14ac:dyDescent="0.2">
      <c r="A388" s="54"/>
      <c r="B388" s="610" t="s">
        <v>541</v>
      </c>
      <c r="C388" s="660"/>
      <c r="D388" s="660"/>
      <c r="E388" s="660"/>
      <c r="F388" s="611"/>
      <c r="G388" s="677" t="s">
        <v>1407</v>
      </c>
      <c r="H388" s="678"/>
      <c r="I388" s="678"/>
      <c r="J388" s="678"/>
      <c r="K388" s="678"/>
      <c r="L388" s="678"/>
      <c r="M388" s="678"/>
      <c r="N388" s="678"/>
      <c r="O388" s="678"/>
      <c r="P388" s="678"/>
      <c r="Q388" s="678"/>
      <c r="R388" s="679"/>
      <c r="S388" s="661" t="str">
        <f>+S384</f>
        <v>Actividades de Operación ejecutadas en la Fase de Construcción
Semana 280</v>
      </c>
      <c r="T388" s="663"/>
    </row>
    <row r="389" spans="1:20" ht="207.6" customHeight="1" x14ac:dyDescent="0.2">
      <c r="A389" s="54"/>
      <c r="B389" s="610" t="s">
        <v>542</v>
      </c>
      <c r="C389" s="660"/>
      <c r="D389" s="660"/>
      <c r="E389" s="660"/>
      <c r="F389" s="611"/>
      <c r="G389" s="686" t="s">
        <v>1409</v>
      </c>
      <c r="H389" s="687"/>
      <c r="I389" s="687"/>
      <c r="J389" s="687"/>
      <c r="K389" s="687"/>
      <c r="L389" s="687"/>
      <c r="M389" s="687"/>
      <c r="N389" s="687"/>
      <c r="O389" s="687"/>
      <c r="P389" s="687"/>
      <c r="Q389" s="687"/>
      <c r="R389" s="687"/>
      <c r="S389" s="661" t="str">
        <f>+S384</f>
        <v>Actividades de Operación ejecutadas en la Fase de Construcción
Semana 280</v>
      </c>
      <c r="T389" s="663"/>
    </row>
    <row r="390" spans="1:20" ht="347.45" customHeight="1" x14ac:dyDescent="0.2">
      <c r="B390" s="481" t="s">
        <v>305</v>
      </c>
      <c r="C390" s="482"/>
      <c r="D390" s="482"/>
      <c r="E390" s="482"/>
      <c r="F390" s="482"/>
      <c r="G390" s="683"/>
      <c r="H390" s="684"/>
      <c r="I390" s="684"/>
      <c r="J390" s="684"/>
      <c r="K390" s="684"/>
      <c r="L390" s="684"/>
      <c r="M390" s="684"/>
      <c r="N390" s="684"/>
      <c r="O390" s="684"/>
      <c r="P390" s="684"/>
      <c r="Q390" s="684"/>
      <c r="R390" s="685"/>
      <c r="S390" s="610"/>
      <c r="T390" s="611"/>
    </row>
    <row r="391" spans="1:20" ht="14.1" customHeight="1" x14ac:dyDescent="0.2">
      <c r="B391" s="68"/>
      <c r="C391" s="51"/>
      <c r="D391" s="51"/>
      <c r="E391" s="51"/>
      <c r="F391" s="51"/>
      <c r="G391" s="65"/>
      <c r="H391" s="49"/>
      <c r="I391" s="49"/>
      <c r="J391" s="49"/>
      <c r="K391" s="49"/>
      <c r="L391" s="49"/>
      <c r="M391" s="49"/>
      <c r="N391" s="49"/>
      <c r="O391" s="49"/>
      <c r="P391" s="49"/>
      <c r="Q391" s="49"/>
      <c r="R391" s="49"/>
      <c r="S391" s="51"/>
      <c r="T391" s="69"/>
    </row>
    <row r="392" spans="1:20" ht="24" customHeight="1" x14ac:dyDescent="0.2">
      <c r="B392" s="459" t="s">
        <v>104</v>
      </c>
      <c r="C392" s="460"/>
      <c r="D392" s="460"/>
      <c r="E392" s="460"/>
      <c r="F392" s="460"/>
      <c r="G392" s="460"/>
      <c r="H392" s="460"/>
      <c r="I392" s="460"/>
      <c r="J392" s="460"/>
      <c r="K392" s="460"/>
      <c r="L392" s="460"/>
      <c r="M392" s="460"/>
      <c r="N392" s="460"/>
      <c r="O392" s="460"/>
      <c r="P392" s="460"/>
      <c r="Q392" s="460"/>
      <c r="R392" s="460"/>
      <c r="S392" s="460"/>
      <c r="T392" s="461"/>
    </row>
    <row r="393" spans="1:20" ht="214.9" customHeight="1" x14ac:dyDescent="0.2">
      <c r="B393" s="688" t="s">
        <v>1357</v>
      </c>
      <c r="C393" s="688"/>
      <c r="D393" s="688"/>
      <c r="E393" s="688"/>
      <c r="F393" s="688"/>
      <c r="G393" s="688"/>
      <c r="H393" s="688"/>
      <c r="I393" s="688"/>
      <c r="J393" s="688"/>
      <c r="K393" s="688"/>
      <c r="L393" s="688"/>
      <c r="M393" s="688"/>
      <c r="N393" s="688"/>
      <c r="O393" s="688"/>
      <c r="P393" s="688"/>
      <c r="Q393" s="688"/>
      <c r="R393" s="688"/>
      <c r="S393" s="688"/>
      <c r="T393" s="688"/>
    </row>
    <row r="394" spans="1:20" ht="14.25" customHeight="1" x14ac:dyDescent="0.2">
      <c r="B394" s="674"/>
      <c r="C394" s="674"/>
      <c r="D394" s="674"/>
      <c r="E394" s="674"/>
      <c r="F394" s="674"/>
      <c r="G394" s="674"/>
      <c r="H394" s="674"/>
      <c r="I394" s="674"/>
      <c r="J394" s="674"/>
      <c r="K394" s="674"/>
      <c r="L394" s="674"/>
      <c r="M394" s="674"/>
      <c r="N394" s="674"/>
      <c r="O394" s="674"/>
      <c r="P394" s="674"/>
      <c r="Q394" s="675"/>
      <c r="R394" s="676"/>
      <c r="S394" s="674"/>
      <c r="T394" s="675"/>
    </row>
    <row r="395" spans="1:20" ht="15" customHeight="1" x14ac:dyDescent="0.2">
      <c r="B395" s="680" t="s">
        <v>105</v>
      </c>
      <c r="C395" s="681"/>
      <c r="D395" s="681"/>
      <c r="E395" s="681"/>
      <c r="F395" s="682"/>
      <c r="G395" s="680" t="s">
        <v>106</v>
      </c>
      <c r="H395" s="681"/>
      <c r="I395" s="681"/>
      <c r="J395" s="681"/>
      <c r="K395" s="681"/>
      <c r="L395" s="681"/>
      <c r="M395" s="681"/>
      <c r="N395" s="681"/>
      <c r="O395" s="681"/>
      <c r="P395" s="682"/>
      <c r="Q395" s="680" t="s">
        <v>107</v>
      </c>
      <c r="R395" s="681"/>
      <c r="S395" s="681"/>
      <c r="T395" s="682"/>
    </row>
    <row r="396" spans="1:20" ht="114.75" customHeight="1" x14ac:dyDescent="0.2">
      <c r="B396" s="668" t="s">
        <v>454</v>
      </c>
      <c r="C396" s="669"/>
      <c r="D396" s="669"/>
      <c r="E396" s="669"/>
      <c r="F396" s="670"/>
      <c r="G396" s="671" t="s">
        <v>287</v>
      </c>
      <c r="H396" s="672"/>
      <c r="I396" s="672"/>
      <c r="J396" s="672"/>
      <c r="K396" s="672"/>
      <c r="L396" s="672"/>
      <c r="M396" s="672"/>
      <c r="N396" s="672"/>
      <c r="O396" s="672"/>
      <c r="P396" s="673"/>
      <c r="Q396" s="671" t="s">
        <v>115</v>
      </c>
      <c r="R396" s="672"/>
      <c r="S396" s="672"/>
      <c r="T396" s="673"/>
    </row>
    <row r="397" spans="1:20" ht="13.9" customHeight="1" x14ac:dyDescent="0.2">
      <c r="G397" s="47"/>
      <c r="H397" s="47"/>
      <c r="I397" s="47"/>
      <c r="J397" s="47"/>
      <c r="K397" s="47"/>
      <c r="L397" s="47"/>
      <c r="M397" s="47"/>
      <c r="N397" s="47"/>
      <c r="O397" s="47"/>
      <c r="P397" s="47"/>
      <c r="Q397" s="48"/>
      <c r="R397" s="48"/>
    </row>
  </sheetData>
  <mergeCells count="1036">
    <mergeCell ref="B44:H44"/>
    <mergeCell ref="I44:J44"/>
    <mergeCell ref="K44:L44"/>
    <mergeCell ref="M44:R44"/>
    <mergeCell ref="I41:J41"/>
    <mergeCell ref="K41:L41"/>
    <mergeCell ref="M41:R41"/>
    <mergeCell ref="B42:H42"/>
    <mergeCell ref="I42:J42"/>
    <mergeCell ref="K42:L42"/>
    <mergeCell ref="M42:R42"/>
    <mergeCell ref="B43:H43"/>
    <mergeCell ref="I43:J43"/>
    <mergeCell ref="K43:L43"/>
    <mergeCell ref="M43:R43"/>
    <mergeCell ref="F273:I273"/>
    <mergeCell ref="B262:C262"/>
    <mergeCell ref="B265:K265"/>
    <mergeCell ref="K247:L247"/>
    <mergeCell ref="I260:K260"/>
    <mergeCell ref="C237:D237"/>
    <mergeCell ref="C242:T242"/>
    <mergeCell ref="K238:T238"/>
    <mergeCell ref="C247:D247"/>
    <mergeCell ref="G115:R115"/>
    <mergeCell ref="G116:R116"/>
    <mergeCell ref="E237:F237"/>
    <mergeCell ref="G237:J237"/>
    <mergeCell ref="C238:D238"/>
    <mergeCell ref="G240:J240"/>
    <mergeCell ref="K240:T240"/>
    <mergeCell ref="G235:J235"/>
    <mergeCell ref="K235:T235"/>
    <mergeCell ref="E233:F233"/>
    <mergeCell ref="G233:J233"/>
    <mergeCell ref="B138:C138"/>
    <mergeCell ref="B146:D146"/>
    <mergeCell ref="E146:F146"/>
    <mergeCell ref="S115:T115"/>
    <mergeCell ref="S116:T116"/>
    <mergeCell ref="B141:C141"/>
    <mergeCell ref="G208:J209"/>
    <mergeCell ref="K218:T218"/>
    <mergeCell ref="B182:C182"/>
    <mergeCell ref="J175:T175"/>
    <mergeCell ref="J174:T174"/>
    <mergeCell ref="D100:J100"/>
    <mergeCell ref="K100:R100"/>
    <mergeCell ref="S100:T100"/>
    <mergeCell ref="B134:T134"/>
    <mergeCell ref="S120:T120"/>
    <mergeCell ref="S129:T129"/>
    <mergeCell ref="B170:C170"/>
    <mergeCell ref="E151:F153"/>
    <mergeCell ref="K151:K153"/>
    <mergeCell ref="J177:T177"/>
    <mergeCell ref="F171:I171"/>
    <mergeCell ref="D170:E170"/>
    <mergeCell ref="E160:F160"/>
    <mergeCell ref="B167:C167"/>
    <mergeCell ref="B161:K161"/>
    <mergeCell ref="G162:H162"/>
    <mergeCell ref="B164:K164"/>
    <mergeCell ref="D163:E163"/>
    <mergeCell ref="G109:R109"/>
    <mergeCell ref="G110:R110"/>
    <mergeCell ref="B107:E108"/>
    <mergeCell ref="B109:E109"/>
    <mergeCell ref="B110:E111"/>
    <mergeCell ref="B112:E112"/>
    <mergeCell ref="B113:E114"/>
    <mergeCell ref="B152:D152"/>
    <mergeCell ref="S139:T139"/>
    <mergeCell ref="D127:J127"/>
    <mergeCell ref="B148:D148"/>
    <mergeCell ref="E150:F150"/>
    <mergeCell ref="D136:J136"/>
    <mergeCell ref="D167:E167"/>
    <mergeCell ref="E96:I96"/>
    <mergeCell ref="K99:R99"/>
    <mergeCell ref="G106:R106"/>
    <mergeCell ref="D99:J99"/>
    <mergeCell ref="S109:T109"/>
    <mergeCell ref="B162:C162"/>
    <mergeCell ref="B157:T157"/>
    <mergeCell ref="B156:T156"/>
    <mergeCell ref="F168:I168"/>
    <mergeCell ref="I160:K160"/>
    <mergeCell ref="B101:C101"/>
    <mergeCell ref="D101:J101"/>
    <mergeCell ref="K101:R101"/>
    <mergeCell ref="S101:T101"/>
    <mergeCell ref="B105:T105"/>
    <mergeCell ref="B142:T142"/>
    <mergeCell ref="B135:T135"/>
    <mergeCell ref="K141:R141"/>
    <mergeCell ref="L144:T155"/>
    <mergeCell ref="S140:T140"/>
    <mergeCell ref="D138:J138"/>
    <mergeCell ref="G159:H159"/>
    <mergeCell ref="K136:R136"/>
    <mergeCell ref="K138:R138"/>
    <mergeCell ref="K139:R139"/>
    <mergeCell ref="B137:C137"/>
    <mergeCell ref="J96:R96"/>
    <mergeCell ref="S96:T96"/>
    <mergeCell ref="B151:D151"/>
    <mergeCell ref="B160:D160"/>
    <mergeCell ref="S111:T111"/>
    <mergeCell ref="S99:T99"/>
    <mergeCell ref="C95:D95"/>
    <mergeCell ref="S56:T56"/>
    <mergeCell ref="E95:I95"/>
    <mergeCell ref="E91:I91"/>
    <mergeCell ref="S92:T92"/>
    <mergeCell ref="E50:H50"/>
    <mergeCell ref="E53:H53"/>
    <mergeCell ref="C60:D70"/>
    <mergeCell ref="S61:T61"/>
    <mergeCell ref="I67:R67"/>
    <mergeCell ref="S91:T91"/>
    <mergeCell ref="S89:T89"/>
    <mergeCell ref="J90:R90"/>
    <mergeCell ref="J94:R94"/>
    <mergeCell ref="J93:R93"/>
    <mergeCell ref="E94:I94"/>
    <mergeCell ref="J95:R95"/>
    <mergeCell ref="I71:R71"/>
    <mergeCell ref="C84:D86"/>
    <mergeCell ref="C76:D83"/>
    <mergeCell ref="J78:R78"/>
    <mergeCell ref="B74:T74"/>
    <mergeCell ref="E87:I87"/>
    <mergeCell ref="J87:R87"/>
    <mergeCell ref="I70:R70"/>
    <mergeCell ref="E72:H72"/>
    <mergeCell ref="I72:R72"/>
    <mergeCell ref="B84:B86"/>
    <mergeCell ref="S69:T69"/>
    <mergeCell ref="S64:T64"/>
    <mergeCell ref="I62:R62"/>
    <mergeCell ref="S67:T67"/>
    <mergeCell ref="L267:T267"/>
    <mergeCell ref="K248:L248"/>
    <mergeCell ref="H245:I245"/>
    <mergeCell ref="H202:I202"/>
    <mergeCell ref="G111:R111"/>
    <mergeCell ref="B159:D159"/>
    <mergeCell ref="F170:I170"/>
    <mergeCell ref="J170:T170"/>
    <mergeCell ref="F166:I167"/>
    <mergeCell ref="C255:D255"/>
    <mergeCell ref="E238:F238"/>
    <mergeCell ref="G238:J238"/>
    <mergeCell ref="B266:F266"/>
    <mergeCell ref="B261:K261"/>
    <mergeCell ref="D141:J141"/>
    <mergeCell ref="E212:F212"/>
    <mergeCell ref="C204:D204"/>
    <mergeCell ref="C219:D219"/>
    <mergeCell ref="E210:F210"/>
    <mergeCell ref="B115:E115"/>
    <mergeCell ref="B116:E116"/>
    <mergeCell ref="C245:E245"/>
    <mergeCell ref="C240:D240"/>
    <mergeCell ref="E240:F240"/>
    <mergeCell ref="C230:D230"/>
    <mergeCell ref="B145:K145"/>
    <mergeCell ref="F196:I196"/>
    <mergeCell ref="B163:C163"/>
    <mergeCell ref="B165:K165"/>
    <mergeCell ref="S138:T138"/>
    <mergeCell ref="B181:C181"/>
    <mergeCell ref="C213:D213"/>
    <mergeCell ref="J287:K287"/>
    <mergeCell ref="F280:G280"/>
    <mergeCell ref="B273:C273"/>
    <mergeCell ref="J245:L245"/>
    <mergeCell ref="B257:T257"/>
    <mergeCell ref="M255:T255"/>
    <mergeCell ref="G260:H260"/>
    <mergeCell ref="E260:F260"/>
    <mergeCell ref="B242:B255"/>
    <mergeCell ref="G255:I255"/>
    <mergeCell ref="J244:L244"/>
    <mergeCell ref="H247:I247"/>
    <mergeCell ref="C250:L250"/>
    <mergeCell ref="G251:H251"/>
    <mergeCell ref="E247:F247"/>
    <mergeCell ref="H244:I244"/>
    <mergeCell ref="C248:D248"/>
    <mergeCell ref="C251:E251"/>
    <mergeCell ref="F268:I269"/>
    <mergeCell ref="B270:C270"/>
    <mergeCell ref="D270:E270"/>
    <mergeCell ref="F270:I270"/>
    <mergeCell ref="J270:T270"/>
    <mergeCell ref="C253:F253"/>
    <mergeCell ref="B256:T256"/>
    <mergeCell ref="H248:I248"/>
    <mergeCell ref="B267:F267"/>
    <mergeCell ref="I266:J266"/>
    <mergeCell ref="D271:E271"/>
    <mergeCell ref="G262:K262"/>
    <mergeCell ref="G267:H267"/>
    <mergeCell ref="I267:J267"/>
    <mergeCell ref="E159:F159"/>
    <mergeCell ref="E220:F220"/>
    <mergeCell ref="F190:I190"/>
    <mergeCell ref="C217:D217"/>
    <mergeCell ref="G219:J219"/>
    <mergeCell ref="L158:T165"/>
    <mergeCell ref="C235:D235"/>
    <mergeCell ref="H284:L284"/>
    <mergeCell ref="H280:I280"/>
    <mergeCell ref="B196:C196"/>
    <mergeCell ref="D184:E184"/>
    <mergeCell ref="H204:I204"/>
    <mergeCell ref="F197:I197"/>
    <mergeCell ref="K208:T209"/>
    <mergeCell ref="F183:I183"/>
    <mergeCell ref="C220:D220"/>
    <mergeCell ref="F195:I195"/>
    <mergeCell ref="J195:T195"/>
    <mergeCell ref="J178:T178"/>
    <mergeCell ref="F181:I181"/>
    <mergeCell ref="C207:L207"/>
    <mergeCell ref="F173:I173"/>
    <mergeCell ref="J172:T172"/>
    <mergeCell ref="F180:I180"/>
    <mergeCell ref="J268:T269"/>
    <mergeCell ref="G259:H259"/>
    <mergeCell ref="C252:T252"/>
    <mergeCell ref="I259:K259"/>
    <mergeCell ref="B258:K258"/>
    <mergeCell ref="F244:G244"/>
    <mergeCell ref="C277:T277"/>
    <mergeCell ref="L266:T266"/>
    <mergeCell ref="B103:C103"/>
    <mergeCell ref="D103:J103"/>
    <mergeCell ref="K103:R103"/>
    <mergeCell ref="S103:T103"/>
    <mergeCell ref="B106:E106"/>
    <mergeCell ref="K98:R98"/>
    <mergeCell ref="S102:T102"/>
    <mergeCell ref="J176:T176"/>
    <mergeCell ref="B150:D150"/>
    <mergeCell ref="I159:K159"/>
    <mergeCell ref="B174:C174"/>
    <mergeCell ref="B175:C175"/>
    <mergeCell ref="D175:E175"/>
    <mergeCell ref="G163:K163"/>
    <mergeCell ref="D172:E172"/>
    <mergeCell ref="B99:C99"/>
    <mergeCell ref="G160:H160"/>
    <mergeCell ref="F175:I175"/>
    <mergeCell ref="F176:I176"/>
    <mergeCell ref="J171:T171"/>
    <mergeCell ref="J173:T173"/>
    <mergeCell ref="D174:E174"/>
    <mergeCell ref="B171:C171"/>
    <mergeCell ref="B176:C176"/>
    <mergeCell ref="S106:T106"/>
    <mergeCell ref="S107:T107"/>
    <mergeCell ref="K140:R140"/>
    <mergeCell ref="B149:D149"/>
    <mergeCell ref="E149:F149"/>
    <mergeCell ref="B158:K158"/>
    <mergeCell ref="E154:F154"/>
    <mergeCell ref="B100:C100"/>
    <mergeCell ref="F271:I271"/>
    <mergeCell ref="D262:E262"/>
    <mergeCell ref="L259:T265"/>
    <mergeCell ref="G266:H266"/>
    <mergeCell ref="C209:D209"/>
    <mergeCell ref="B166:E166"/>
    <mergeCell ref="E148:F148"/>
    <mergeCell ref="B147:D147"/>
    <mergeCell ref="E147:F147"/>
    <mergeCell ref="C285:L285"/>
    <mergeCell ref="J253:L254"/>
    <mergeCell ref="C254:D254"/>
    <mergeCell ref="B277:B289"/>
    <mergeCell ref="J273:T273"/>
    <mergeCell ref="D273:E273"/>
    <mergeCell ref="M253:T254"/>
    <mergeCell ref="G253:I254"/>
    <mergeCell ref="J255:L255"/>
    <mergeCell ref="B260:D260"/>
    <mergeCell ref="D263:E263"/>
    <mergeCell ref="B264:K264"/>
    <mergeCell ref="G263:K263"/>
    <mergeCell ref="L258:T258"/>
    <mergeCell ref="B268:E268"/>
    <mergeCell ref="J197:T197"/>
    <mergeCell ref="J193:T193"/>
    <mergeCell ref="C287:G287"/>
    <mergeCell ref="B259:D259"/>
    <mergeCell ref="F179:I179"/>
    <mergeCell ref="J179:T179"/>
    <mergeCell ref="J271:T271"/>
    <mergeCell ref="F272:I272"/>
    <mergeCell ref="G371:R371"/>
    <mergeCell ref="G369:R369"/>
    <mergeCell ref="C289:D289"/>
    <mergeCell ref="M286:T286"/>
    <mergeCell ref="H283:L283"/>
    <mergeCell ref="E283:F283"/>
    <mergeCell ref="M278:T278"/>
    <mergeCell ref="E284:F284"/>
    <mergeCell ref="F294:G294"/>
    <mergeCell ref="H294:I294"/>
    <mergeCell ref="J294:L294"/>
    <mergeCell ref="G295:J296"/>
    <mergeCell ref="F293:G293"/>
    <mergeCell ref="H293:I293"/>
    <mergeCell ref="J293:L293"/>
    <mergeCell ref="C294:E294"/>
    <mergeCell ref="J281:L281"/>
    <mergeCell ref="J279:L279"/>
    <mergeCell ref="C280:E280"/>
    <mergeCell ref="F281:G281"/>
    <mergeCell ref="C281:E281"/>
    <mergeCell ref="H281:I281"/>
    <mergeCell ref="C283:D283"/>
    <mergeCell ref="C288:F288"/>
    <mergeCell ref="C286:G286"/>
    <mergeCell ref="J286:K286"/>
    <mergeCell ref="H279:I279"/>
    <mergeCell ref="M279:T285"/>
    <mergeCell ref="C279:E279"/>
    <mergeCell ref="M287:T287"/>
    <mergeCell ref="H287:I287"/>
    <mergeCell ref="B290:T290"/>
    <mergeCell ref="B372:F372"/>
    <mergeCell ref="G372:R372"/>
    <mergeCell ref="B376:F376"/>
    <mergeCell ref="S383:T383"/>
    <mergeCell ref="G387:R387"/>
    <mergeCell ref="B378:F378"/>
    <mergeCell ref="G378:R378"/>
    <mergeCell ref="B387:F387"/>
    <mergeCell ref="S387:T387"/>
    <mergeCell ref="G384:R384"/>
    <mergeCell ref="S384:T384"/>
    <mergeCell ref="B385:F385"/>
    <mergeCell ref="B386:F386"/>
    <mergeCell ref="G377:R377"/>
    <mergeCell ref="B377:F377"/>
    <mergeCell ref="B382:T382"/>
    <mergeCell ref="B383:F383"/>
    <mergeCell ref="G385:R385"/>
    <mergeCell ref="S385:T385"/>
    <mergeCell ref="B384:F384"/>
    <mergeCell ref="G386:R386"/>
    <mergeCell ref="G376:R376"/>
    <mergeCell ref="B375:F375"/>
    <mergeCell ref="S386:T386"/>
    <mergeCell ref="G374:R374"/>
    <mergeCell ref="G375:R375"/>
    <mergeCell ref="B374:F374"/>
    <mergeCell ref="G383:R383"/>
    <mergeCell ref="B381:F381"/>
    <mergeCell ref="G381:R381"/>
    <mergeCell ref="S367:T381"/>
    <mergeCell ref="B371:F371"/>
    <mergeCell ref="B396:F396"/>
    <mergeCell ref="G396:P396"/>
    <mergeCell ref="Q396:T396"/>
    <mergeCell ref="B392:T392"/>
    <mergeCell ref="B394:Q394"/>
    <mergeCell ref="R394:T394"/>
    <mergeCell ref="B388:F388"/>
    <mergeCell ref="G388:R388"/>
    <mergeCell ref="S388:T388"/>
    <mergeCell ref="B395:F395"/>
    <mergeCell ref="G395:P395"/>
    <mergeCell ref="Q395:T395"/>
    <mergeCell ref="B390:F390"/>
    <mergeCell ref="G390:R390"/>
    <mergeCell ref="S390:T390"/>
    <mergeCell ref="G389:R389"/>
    <mergeCell ref="B393:T393"/>
    <mergeCell ref="B389:F389"/>
    <mergeCell ref="S389:T389"/>
    <mergeCell ref="B369:F369"/>
    <mergeCell ref="S306:T306"/>
    <mergeCell ref="S301:T301"/>
    <mergeCell ref="G312:R312"/>
    <mergeCell ref="B306:F306"/>
    <mergeCell ref="S311:T311"/>
    <mergeCell ref="G303:R303"/>
    <mergeCell ref="B305:T305"/>
    <mergeCell ref="G300:R300"/>
    <mergeCell ref="S300:T300"/>
    <mergeCell ref="B312:F366"/>
    <mergeCell ref="B303:F303"/>
    <mergeCell ref="B311:F311"/>
    <mergeCell ref="G311:R311"/>
    <mergeCell ref="G314:R314"/>
    <mergeCell ref="B310:F310"/>
    <mergeCell ref="G368:R368"/>
    <mergeCell ref="B368:F368"/>
    <mergeCell ref="G361:R361"/>
    <mergeCell ref="G362:R362"/>
    <mergeCell ref="G358:R358"/>
    <mergeCell ref="B300:F300"/>
    <mergeCell ref="G355:R355"/>
    <mergeCell ref="G344:R344"/>
    <mergeCell ref="G333:R333"/>
    <mergeCell ref="G357:R357"/>
    <mergeCell ref="G356:R356"/>
    <mergeCell ref="G359:R359"/>
    <mergeCell ref="B367:F367"/>
    <mergeCell ref="G367:R367"/>
    <mergeCell ref="B308:F309"/>
    <mergeCell ref="G307:R307"/>
    <mergeCell ref="G366:R366"/>
    <mergeCell ref="G343:R343"/>
    <mergeCell ref="G345:R345"/>
    <mergeCell ref="G352:R352"/>
    <mergeCell ref="G310:R310"/>
    <mergeCell ref="G325:R325"/>
    <mergeCell ref="G322:R322"/>
    <mergeCell ref="S312:T366"/>
    <mergeCell ref="W312:X365"/>
    <mergeCell ref="G313:R313"/>
    <mergeCell ref="G315:R315"/>
    <mergeCell ref="G316:R316"/>
    <mergeCell ref="G317:R317"/>
    <mergeCell ref="G318:R318"/>
    <mergeCell ref="G321:R321"/>
    <mergeCell ref="G360:R360"/>
    <mergeCell ref="G346:R346"/>
    <mergeCell ref="G335:R335"/>
    <mergeCell ref="G342:R342"/>
    <mergeCell ref="G354:R354"/>
    <mergeCell ref="G334:R334"/>
    <mergeCell ref="G341:R341"/>
    <mergeCell ref="G353:R353"/>
    <mergeCell ref="G319:R319"/>
    <mergeCell ref="G363:R364"/>
    <mergeCell ref="G365:R365"/>
    <mergeCell ref="G320:R320"/>
    <mergeCell ref="G323:R324"/>
    <mergeCell ref="G340:R340"/>
    <mergeCell ref="G326:R326"/>
    <mergeCell ref="G327:R328"/>
    <mergeCell ref="G329:R330"/>
    <mergeCell ref="O14:Q15"/>
    <mergeCell ref="F14:I15"/>
    <mergeCell ref="R28:T28"/>
    <mergeCell ref="J29:N29"/>
    <mergeCell ref="R29:T29"/>
    <mergeCell ref="J14:N15"/>
    <mergeCell ref="J24:N27"/>
    <mergeCell ref="F19:I22"/>
    <mergeCell ref="B37:T37"/>
    <mergeCell ref="B35:E36"/>
    <mergeCell ref="R35:T36"/>
    <mergeCell ref="F31:I32"/>
    <mergeCell ref="J16:N18"/>
    <mergeCell ref="F16:I18"/>
    <mergeCell ref="B16:E18"/>
    <mergeCell ref="B14:E15"/>
    <mergeCell ref="R16:T18"/>
    <mergeCell ref="O16:Q18"/>
    <mergeCell ref="O31:Q32"/>
    <mergeCell ref="J30:N30"/>
    <mergeCell ref="B33:E34"/>
    <mergeCell ref="J31:N32"/>
    <mergeCell ref="B31:E32"/>
    <mergeCell ref="O33:Q34"/>
    <mergeCell ref="J33:N34"/>
    <mergeCell ref="F35:I36"/>
    <mergeCell ref="O35:Q36"/>
    <mergeCell ref="J35:N36"/>
    <mergeCell ref="G308:R309"/>
    <mergeCell ref="B297:T297"/>
    <mergeCell ref="K295:T296"/>
    <mergeCell ref="C291:T291"/>
    <mergeCell ref="C292:L292"/>
    <mergeCell ref="B291:B296"/>
    <mergeCell ref="M293:T294"/>
    <mergeCell ref="C293:E293"/>
    <mergeCell ref="B276:T276"/>
    <mergeCell ref="H286:I286"/>
    <mergeCell ref="C284:D284"/>
    <mergeCell ref="J280:L280"/>
    <mergeCell ref="G370:R370"/>
    <mergeCell ref="B370:F370"/>
    <mergeCell ref="B373:F373"/>
    <mergeCell ref="G373:R373"/>
    <mergeCell ref="G332:R332"/>
    <mergeCell ref="G339:R339"/>
    <mergeCell ref="G288:J289"/>
    <mergeCell ref="K288:T289"/>
    <mergeCell ref="E289:F289"/>
    <mergeCell ref="S310:T310"/>
    <mergeCell ref="B307:F307"/>
    <mergeCell ref="S308:T309"/>
    <mergeCell ref="B304:F304"/>
    <mergeCell ref="G304:R304"/>
    <mergeCell ref="S304:T304"/>
    <mergeCell ref="B302:F302"/>
    <mergeCell ref="S303:T303"/>
    <mergeCell ref="B301:F301"/>
    <mergeCell ref="G301:R301"/>
    <mergeCell ref="G302:R302"/>
    <mergeCell ref="G331:R331"/>
    <mergeCell ref="G336:R337"/>
    <mergeCell ref="G338:R338"/>
    <mergeCell ref="G347:R348"/>
    <mergeCell ref="G349:R350"/>
    <mergeCell ref="G351:R351"/>
    <mergeCell ref="B23:E27"/>
    <mergeCell ref="S307:T307"/>
    <mergeCell ref="S302:T302"/>
    <mergeCell ref="G306:R306"/>
    <mergeCell ref="V300:W300"/>
    <mergeCell ref="B298:T298"/>
    <mergeCell ref="B299:F299"/>
    <mergeCell ref="G299:R299"/>
    <mergeCell ref="S299:T299"/>
    <mergeCell ref="B271:C271"/>
    <mergeCell ref="F274:I274"/>
    <mergeCell ref="B274:C274"/>
    <mergeCell ref="B272:C272"/>
    <mergeCell ref="B275:T275"/>
    <mergeCell ref="D274:E274"/>
    <mergeCell ref="J274:T274"/>
    <mergeCell ref="B263:C263"/>
    <mergeCell ref="F279:G279"/>
    <mergeCell ref="C278:L278"/>
    <mergeCell ref="M292:T292"/>
    <mergeCell ref="O29:Q29"/>
    <mergeCell ref="C295:F295"/>
    <mergeCell ref="C296:D296"/>
    <mergeCell ref="E296:F296"/>
    <mergeCell ref="D272:E272"/>
    <mergeCell ref="D269:E269"/>
    <mergeCell ref="J272:T272"/>
    <mergeCell ref="B269:C269"/>
    <mergeCell ref="R33:T34"/>
    <mergeCell ref="F33:I34"/>
    <mergeCell ref="B38:H38"/>
    <mergeCell ref="I38:J38"/>
    <mergeCell ref="K38:L38"/>
    <mergeCell ref="M38:R38"/>
    <mergeCell ref="F30:I30"/>
    <mergeCell ref="J12:N12"/>
    <mergeCell ref="O12:Q13"/>
    <mergeCell ref="R12:T13"/>
    <mergeCell ref="J19:N22"/>
    <mergeCell ref="O19:Q22"/>
    <mergeCell ref="R19:T22"/>
    <mergeCell ref="B28:E28"/>
    <mergeCell ref="F28:I28"/>
    <mergeCell ref="J28:N28"/>
    <mergeCell ref="R23:T27"/>
    <mergeCell ref="O23:Q27"/>
    <mergeCell ref="F23:I27"/>
    <mergeCell ref="J23:N23"/>
    <mergeCell ref="B19:E22"/>
    <mergeCell ref="O28:Q28"/>
    <mergeCell ref="O30:Q30"/>
    <mergeCell ref="R30:T30"/>
    <mergeCell ref="F29:I29"/>
    <mergeCell ref="B29:E29"/>
    <mergeCell ref="B12:E13"/>
    <mergeCell ref="R14:T15"/>
    <mergeCell ref="B30:E30"/>
    <mergeCell ref="R31:T32"/>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J13:N13"/>
    <mergeCell ref="F12:I13"/>
    <mergeCell ref="B9:T9"/>
    <mergeCell ref="B10:E11"/>
    <mergeCell ref="F10:I11"/>
    <mergeCell ref="J10:N11"/>
    <mergeCell ref="O10:Q11"/>
    <mergeCell ref="R10:T11"/>
    <mergeCell ref="B39:H39"/>
    <mergeCell ref="I39:J39"/>
    <mergeCell ref="I60:R60"/>
    <mergeCell ref="E66:H66"/>
    <mergeCell ref="I55:R55"/>
    <mergeCell ref="E65:H65"/>
    <mergeCell ref="E52:H52"/>
    <mergeCell ref="E61:H61"/>
    <mergeCell ref="S38:T38"/>
    <mergeCell ref="I57:R57"/>
    <mergeCell ref="E63:H63"/>
    <mergeCell ref="I63:R63"/>
    <mergeCell ref="E49:H49"/>
    <mergeCell ref="I53:R53"/>
    <mergeCell ref="S53:T53"/>
    <mergeCell ref="I59:R59"/>
    <mergeCell ref="C48:D48"/>
    <mergeCell ref="S66:T66"/>
    <mergeCell ref="S62:T62"/>
    <mergeCell ref="S63:T63"/>
    <mergeCell ref="I65:R65"/>
    <mergeCell ref="K39:L39"/>
    <mergeCell ref="M39:R39"/>
    <mergeCell ref="B41:H41"/>
    <mergeCell ref="E70:H70"/>
    <mergeCell ref="E80:I80"/>
    <mergeCell ref="E71:H71"/>
    <mergeCell ref="E68:H68"/>
    <mergeCell ref="E54:H54"/>
    <mergeCell ref="S54:T54"/>
    <mergeCell ref="I51:R51"/>
    <mergeCell ref="E64:H64"/>
    <mergeCell ref="S82:T82"/>
    <mergeCell ref="E76:I76"/>
    <mergeCell ref="E86:I86"/>
    <mergeCell ref="J86:R86"/>
    <mergeCell ref="J82:R82"/>
    <mergeCell ref="S79:T79"/>
    <mergeCell ref="E51:H51"/>
    <mergeCell ref="I48:R48"/>
    <mergeCell ref="E56:H56"/>
    <mergeCell ref="I54:R54"/>
    <mergeCell ref="E81:I81"/>
    <mergeCell ref="J80:R80"/>
    <mergeCell ref="S81:T81"/>
    <mergeCell ref="E78:I78"/>
    <mergeCell ref="E83:I83"/>
    <mergeCell ref="S55:T55"/>
    <mergeCell ref="E69:H69"/>
    <mergeCell ref="S60:T60"/>
    <mergeCell ref="S70:T70"/>
    <mergeCell ref="E62:H62"/>
    <mergeCell ref="E60:H60"/>
    <mergeCell ref="I64:R64"/>
    <mergeCell ref="E58:H58"/>
    <mergeCell ref="I58:R58"/>
    <mergeCell ref="I68:R68"/>
    <mergeCell ref="I66:R66"/>
    <mergeCell ref="I69:R69"/>
    <mergeCell ref="S65:T65"/>
    <mergeCell ref="S48:T48"/>
    <mergeCell ref="E59:H59"/>
    <mergeCell ref="S58:T58"/>
    <mergeCell ref="S68:T68"/>
    <mergeCell ref="B40:H40"/>
    <mergeCell ref="I40:J40"/>
    <mergeCell ref="K40:L40"/>
    <mergeCell ref="M40:R40"/>
    <mergeCell ref="S50:T50"/>
    <mergeCell ref="S59:T59"/>
    <mergeCell ref="C49:D59"/>
    <mergeCell ref="E57:H57"/>
    <mergeCell ref="S51:T51"/>
    <mergeCell ref="B60:B70"/>
    <mergeCell ref="B46:T46"/>
    <mergeCell ref="B47:T47"/>
    <mergeCell ref="E48:H48"/>
    <mergeCell ref="S57:T57"/>
    <mergeCell ref="I49:R49"/>
    <mergeCell ref="S49:T49"/>
    <mergeCell ref="B49:B59"/>
    <mergeCell ref="I50:R50"/>
    <mergeCell ref="E55:H55"/>
    <mergeCell ref="I52:R52"/>
    <mergeCell ref="S52:T52"/>
    <mergeCell ref="I56:R56"/>
    <mergeCell ref="I61:R61"/>
    <mergeCell ref="E67:H67"/>
    <mergeCell ref="J91:R91"/>
    <mergeCell ref="E88:I88"/>
    <mergeCell ref="E85:I85"/>
    <mergeCell ref="J81:R81"/>
    <mergeCell ref="S78:T78"/>
    <mergeCell ref="C75:D75"/>
    <mergeCell ref="B76:B83"/>
    <mergeCell ref="S77:T77"/>
    <mergeCell ref="E77:I77"/>
    <mergeCell ref="J77:R77"/>
    <mergeCell ref="E75:I75"/>
    <mergeCell ref="J75:R75"/>
    <mergeCell ref="S75:T75"/>
    <mergeCell ref="J79:R79"/>
    <mergeCell ref="J76:R76"/>
    <mergeCell ref="B71:B73"/>
    <mergeCell ref="J85:R85"/>
    <mergeCell ref="S76:T76"/>
    <mergeCell ref="S80:T80"/>
    <mergeCell ref="S86:T86"/>
    <mergeCell ref="C71:D73"/>
    <mergeCell ref="E73:H73"/>
    <mergeCell ref="I73:R73"/>
    <mergeCell ref="S71:T71"/>
    <mergeCell ref="S72:T72"/>
    <mergeCell ref="J88:R88"/>
    <mergeCell ref="S73:T73"/>
    <mergeCell ref="G213:J213"/>
    <mergeCell ref="B190:C190"/>
    <mergeCell ref="E209:F209"/>
    <mergeCell ref="C226:D226"/>
    <mergeCell ref="C222:D222"/>
    <mergeCell ref="G232:J232"/>
    <mergeCell ref="K232:T232"/>
    <mergeCell ref="E90:I90"/>
    <mergeCell ref="E89:I89"/>
    <mergeCell ref="J89:R89"/>
    <mergeCell ref="K217:T217"/>
    <mergeCell ref="E84:I84"/>
    <mergeCell ref="J84:R84"/>
    <mergeCell ref="S84:T84"/>
    <mergeCell ref="S88:T88"/>
    <mergeCell ref="S85:T85"/>
    <mergeCell ref="B185:C185"/>
    <mergeCell ref="D185:E185"/>
    <mergeCell ref="F185:I185"/>
    <mergeCell ref="J185:T185"/>
    <mergeCell ref="J196:T196"/>
    <mergeCell ref="F187:I187"/>
    <mergeCell ref="J190:T190"/>
    <mergeCell ref="B179:C179"/>
    <mergeCell ref="B97:T97"/>
    <mergeCell ref="B154:D154"/>
    <mergeCell ref="B180:C180"/>
    <mergeCell ref="J183:T183"/>
    <mergeCell ref="D179:E179"/>
    <mergeCell ref="F202:G202"/>
    <mergeCell ref="B189:C189"/>
    <mergeCell ref="D102:J102"/>
    <mergeCell ref="C210:D210"/>
    <mergeCell ref="J202:L202"/>
    <mergeCell ref="M201:T207"/>
    <mergeCell ref="C202:E202"/>
    <mergeCell ref="C231:D231"/>
    <mergeCell ref="C229:D229"/>
    <mergeCell ref="E255:F255"/>
    <mergeCell ref="E259:F259"/>
    <mergeCell ref="K213:T213"/>
    <mergeCell ref="B241:T241"/>
    <mergeCell ref="C234:D234"/>
    <mergeCell ref="E216:F216"/>
    <mergeCell ref="K212:T212"/>
    <mergeCell ref="K227:T227"/>
    <mergeCell ref="E222:F222"/>
    <mergeCell ref="M243:T251"/>
    <mergeCell ref="C243:L243"/>
    <mergeCell ref="F245:G245"/>
    <mergeCell ref="K224:T224"/>
    <mergeCell ref="E226:F226"/>
    <mergeCell ref="E254:F254"/>
    <mergeCell ref="E248:F248"/>
    <mergeCell ref="J251:K251"/>
    <mergeCell ref="K234:T234"/>
    <mergeCell ref="K228:T228"/>
    <mergeCell ref="K219:T219"/>
    <mergeCell ref="K231:T231"/>
    <mergeCell ref="C244:E244"/>
    <mergeCell ref="K237:T237"/>
    <mergeCell ref="G236:J236"/>
    <mergeCell ref="B199:B220"/>
    <mergeCell ref="G229:J229"/>
    <mergeCell ref="K233:T233"/>
    <mergeCell ref="E218:F218"/>
    <mergeCell ref="E215:F215"/>
    <mergeCell ref="K236:T236"/>
    <mergeCell ref="E232:F232"/>
    <mergeCell ref="K230:T230"/>
    <mergeCell ref="E214:F214"/>
    <mergeCell ref="E217:F217"/>
    <mergeCell ref="C225:D225"/>
    <mergeCell ref="K214:T214"/>
    <mergeCell ref="G224:J224"/>
    <mergeCell ref="E227:F227"/>
    <mergeCell ref="C232:D232"/>
    <mergeCell ref="E231:F231"/>
    <mergeCell ref="G227:J227"/>
    <mergeCell ref="G230:J230"/>
    <mergeCell ref="E228:F228"/>
    <mergeCell ref="G228:J228"/>
    <mergeCell ref="G226:J226"/>
    <mergeCell ref="E225:F225"/>
    <mergeCell ref="K229:T229"/>
    <mergeCell ref="D189:E189"/>
    <mergeCell ref="C208:F208"/>
    <mergeCell ref="E230:F230"/>
    <mergeCell ref="G220:J220"/>
    <mergeCell ref="B192:C192"/>
    <mergeCell ref="D192:E192"/>
    <mergeCell ref="F192:I192"/>
    <mergeCell ref="J198:T198"/>
    <mergeCell ref="G212:J212"/>
    <mergeCell ref="E211:F211"/>
    <mergeCell ref="C215:D215"/>
    <mergeCell ref="G218:J218"/>
    <mergeCell ref="K220:T220"/>
    <mergeCell ref="E204:F204"/>
    <mergeCell ref="K216:T216"/>
    <mergeCell ref="E229:F229"/>
    <mergeCell ref="K221:T221"/>
    <mergeCell ref="J191:T191"/>
    <mergeCell ref="H201:I201"/>
    <mergeCell ref="E219:F219"/>
    <mergeCell ref="G214:J214"/>
    <mergeCell ref="G210:J210"/>
    <mergeCell ref="C214:D214"/>
    <mergeCell ref="C218:D218"/>
    <mergeCell ref="G225:J225"/>
    <mergeCell ref="K210:T210"/>
    <mergeCell ref="F194:I194"/>
    <mergeCell ref="D198:E198"/>
    <mergeCell ref="C205:D205"/>
    <mergeCell ref="K204:L204"/>
    <mergeCell ref="C200:L200"/>
    <mergeCell ref="B153:D153"/>
    <mergeCell ref="B120:C120"/>
    <mergeCell ref="S119:T119"/>
    <mergeCell ref="D177:E177"/>
    <mergeCell ref="D119:J119"/>
    <mergeCell ref="D193:E193"/>
    <mergeCell ref="F193:I193"/>
    <mergeCell ref="F189:I189"/>
    <mergeCell ref="D188:E188"/>
    <mergeCell ref="C227:D227"/>
    <mergeCell ref="E213:F213"/>
    <mergeCell ref="C212:D212"/>
    <mergeCell ref="C221:D221"/>
    <mergeCell ref="E221:F221"/>
    <mergeCell ref="C224:D224"/>
    <mergeCell ref="E224:F224"/>
    <mergeCell ref="K223:T223"/>
    <mergeCell ref="G223:J223"/>
    <mergeCell ref="D162:E162"/>
    <mergeCell ref="J162:K162"/>
    <mergeCell ref="B168:C168"/>
    <mergeCell ref="J168:T168"/>
    <mergeCell ref="J182:T182"/>
    <mergeCell ref="F178:I178"/>
    <mergeCell ref="D180:E180"/>
    <mergeCell ref="F188:I188"/>
    <mergeCell ref="K225:T225"/>
    <mergeCell ref="G221:J221"/>
    <mergeCell ref="E205:F205"/>
    <mergeCell ref="C201:E201"/>
    <mergeCell ref="J201:L201"/>
    <mergeCell ref="B198:C198"/>
    <mergeCell ref="B131:T131"/>
    <mergeCell ref="K119:R119"/>
    <mergeCell ref="E79:I79"/>
    <mergeCell ref="S83:T83"/>
    <mergeCell ref="S87:T87"/>
    <mergeCell ref="S90:T90"/>
    <mergeCell ref="S98:T98"/>
    <mergeCell ref="B98:C98"/>
    <mergeCell ref="B132:T132"/>
    <mergeCell ref="B133:T133"/>
    <mergeCell ref="K102:R102"/>
    <mergeCell ref="B119:C119"/>
    <mergeCell ref="G107:R107"/>
    <mergeCell ref="B118:T118"/>
    <mergeCell ref="S110:T110"/>
    <mergeCell ref="S108:T108"/>
    <mergeCell ref="D98:J98"/>
    <mergeCell ref="S95:T95"/>
    <mergeCell ref="C87:D94"/>
    <mergeCell ref="S94:T94"/>
    <mergeCell ref="S93:T93"/>
    <mergeCell ref="E93:I93"/>
    <mergeCell ref="B87:B94"/>
    <mergeCell ref="E92:I92"/>
    <mergeCell ref="J92:R92"/>
    <mergeCell ref="J83:R83"/>
    <mergeCell ref="E82:I82"/>
    <mergeCell ref="C96:D96"/>
    <mergeCell ref="K127:R127"/>
    <mergeCell ref="S126:T126"/>
    <mergeCell ref="B104:C104"/>
    <mergeCell ref="D104:J104"/>
    <mergeCell ref="D139:J139"/>
    <mergeCell ref="J166:T167"/>
    <mergeCell ref="D168:E168"/>
    <mergeCell ref="K137:R137"/>
    <mergeCell ref="B136:C136"/>
    <mergeCell ref="D137:J137"/>
    <mergeCell ref="B139:C139"/>
    <mergeCell ref="B140:C140"/>
    <mergeCell ref="D140:J140"/>
    <mergeCell ref="S136:T136"/>
    <mergeCell ref="S137:T137"/>
    <mergeCell ref="B102:C102"/>
    <mergeCell ref="G222:J222"/>
    <mergeCell ref="K222:T222"/>
    <mergeCell ref="C211:D211"/>
    <mergeCell ref="G215:J215"/>
    <mergeCell ref="K215:T215"/>
    <mergeCell ref="S127:T127"/>
    <mergeCell ref="B128:C128"/>
    <mergeCell ref="D128:J128"/>
    <mergeCell ref="K128:R128"/>
    <mergeCell ref="S128:T128"/>
    <mergeCell ref="D120:J120"/>
    <mergeCell ref="K120:R120"/>
    <mergeCell ref="B126:C126"/>
    <mergeCell ref="B129:C129"/>
    <mergeCell ref="D129:J129"/>
    <mergeCell ref="K129:R129"/>
    <mergeCell ref="D126:J126"/>
    <mergeCell ref="K126:R126"/>
    <mergeCell ref="B127:C127"/>
    <mergeCell ref="J187:T187"/>
    <mergeCell ref="B143:T143"/>
    <mergeCell ref="S141:T141"/>
    <mergeCell ref="D195:E195"/>
    <mergeCell ref="J194:T194"/>
    <mergeCell ref="D181:E181"/>
    <mergeCell ref="G211:J211"/>
    <mergeCell ref="K211:T211"/>
    <mergeCell ref="K239:T239"/>
    <mergeCell ref="C239:D239"/>
    <mergeCell ref="E239:F239"/>
    <mergeCell ref="G239:J239"/>
    <mergeCell ref="M200:T200"/>
    <mergeCell ref="C223:D223"/>
    <mergeCell ref="E223:F223"/>
    <mergeCell ref="G217:J217"/>
    <mergeCell ref="E234:F234"/>
    <mergeCell ref="G234:J234"/>
    <mergeCell ref="C228:D228"/>
    <mergeCell ref="C216:D216"/>
    <mergeCell ref="H205:L205"/>
    <mergeCell ref="G216:J216"/>
    <mergeCell ref="C236:D236"/>
    <mergeCell ref="E236:F236"/>
    <mergeCell ref="K226:T226"/>
    <mergeCell ref="J180:T180"/>
    <mergeCell ref="F174:I174"/>
    <mergeCell ref="F169:I169"/>
    <mergeCell ref="D182:E182"/>
    <mergeCell ref="F198:I198"/>
    <mergeCell ref="B183:C183"/>
    <mergeCell ref="F172:I172"/>
    <mergeCell ref="J169:T169"/>
    <mergeCell ref="D197:E197"/>
    <mergeCell ref="B178:C178"/>
    <mergeCell ref="B173:C173"/>
    <mergeCell ref="D173:E173"/>
    <mergeCell ref="D169:E169"/>
    <mergeCell ref="J192:T192"/>
    <mergeCell ref="F182:I182"/>
    <mergeCell ref="D183:E183"/>
    <mergeCell ref="J184:T184"/>
    <mergeCell ref="D194:E194"/>
    <mergeCell ref="J186:T186"/>
    <mergeCell ref="F184:I184"/>
    <mergeCell ref="J188:T188"/>
    <mergeCell ref="D191:E191"/>
    <mergeCell ref="B197:C197"/>
    <mergeCell ref="F186:I186"/>
    <mergeCell ref="D171:E171"/>
    <mergeCell ref="B177:C177"/>
    <mergeCell ref="J181:T181"/>
    <mergeCell ref="D176:E176"/>
    <mergeCell ref="D187:E187"/>
    <mergeCell ref="D186:E186"/>
    <mergeCell ref="B191:C191"/>
    <mergeCell ref="F191:I191"/>
    <mergeCell ref="B188:C188"/>
    <mergeCell ref="J189:T189"/>
    <mergeCell ref="F177:I177"/>
    <mergeCell ref="B184:C184"/>
    <mergeCell ref="B193:C193"/>
    <mergeCell ref="B195:C195"/>
    <mergeCell ref="B130:C130"/>
    <mergeCell ref="D130:J130"/>
    <mergeCell ref="K130:R130"/>
    <mergeCell ref="S130:T130"/>
    <mergeCell ref="B380:F380"/>
    <mergeCell ref="G380:R380"/>
    <mergeCell ref="G112:R112"/>
    <mergeCell ref="S112:T112"/>
    <mergeCell ref="G113:R113"/>
    <mergeCell ref="S113:T113"/>
    <mergeCell ref="G114:R114"/>
    <mergeCell ref="S114:T114"/>
    <mergeCell ref="B379:F379"/>
    <mergeCell ref="G379:R379"/>
    <mergeCell ref="C199:T199"/>
    <mergeCell ref="F201:G201"/>
    <mergeCell ref="D196:E196"/>
    <mergeCell ref="B172:C172"/>
    <mergeCell ref="D190:E190"/>
    <mergeCell ref="D178:E178"/>
    <mergeCell ref="B187:C187"/>
    <mergeCell ref="E235:F235"/>
    <mergeCell ref="C233:D233"/>
    <mergeCell ref="G231:J231"/>
    <mergeCell ref="B169:C169"/>
    <mergeCell ref="B121:C121"/>
    <mergeCell ref="D121:J121"/>
    <mergeCell ref="K121:R121"/>
    <mergeCell ref="S121:T121"/>
    <mergeCell ref="B122:C122"/>
    <mergeCell ref="B186:C186"/>
    <mergeCell ref="B194:C194"/>
    <mergeCell ref="D122:J122"/>
    <mergeCell ref="K122:R122"/>
    <mergeCell ref="S122:T122"/>
    <mergeCell ref="B123:C123"/>
    <mergeCell ref="D123:J123"/>
    <mergeCell ref="K123:R123"/>
    <mergeCell ref="S123:T123"/>
    <mergeCell ref="B124:C124"/>
    <mergeCell ref="D124:J124"/>
    <mergeCell ref="K124:R124"/>
    <mergeCell ref="S124:T124"/>
    <mergeCell ref="B125:C125"/>
    <mergeCell ref="D125:J125"/>
    <mergeCell ref="K125:R125"/>
    <mergeCell ref="S125:T125"/>
    <mergeCell ref="K104:R104"/>
    <mergeCell ref="S104:T104"/>
    <mergeCell ref="G108:R108"/>
  </mergeCells>
  <phoneticPr fontId="26"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S79"/>
  <sheetViews>
    <sheetView topLeftCell="A4" zoomScale="70" zoomScaleNormal="70" workbookViewId="0">
      <selection activeCell="C23" sqref="C23"/>
    </sheetView>
  </sheetViews>
  <sheetFormatPr baseColWidth="10" defaultColWidth="10.85546875" defaultRowHeight="12.75" x14ac:dyDescent="0.2"/>
  <cols>
    <col min="1" max="1" width="4.5703125" style="34" customWidth="1"/>
    <col min="2" max="2" width="20.28515625" style="33" customWidth="1"/>
    <col min="3" max="3" width="10" style="34" customWidth="1"/>
    <col min="4" max="4" width="11.28515625" style="34" customWidth="1"/>
    <col min="5" max="5" width="11.42578125" style="34" customWidth="1"/>
    <col min="6" max="6" width="11.7109375" style="34" customWidth="1"/>
    <col min="7" max="7" width="15.42578125" style="34" customWidth="1"/>
    <col min="8" max="8" width="10.7109375" style="34" customWidth="1"/>
    <col min="9" max="10" width="19.42578125" style="34" customWidth="1"/>
    <col min="11" max="11" width="17.140625" style="34" customWidth="1"/>
    <col min="12" max="14" width="10.85546875" style="34"/>
    <col min="15" max="15" width="12.28515625" style="34" customWidth="1"/>
    <col min="16" max="16" width="10.85546875" style="34"/>
    <col min="17" max="17" width="13.7109375" style="34" customWidth="1"/>
    <col min="18" max="18" width="10.5703125" style="34" customWidth="1"/>
    <col min="19" max="19" width="17.140625" style="34" customWidth="1"/>
    <col min="20" max="16384" width="10.85546875" style="34"/>
  </cols>
  <sheetData>
    <row r="1" spans="2:19" ht="15" thickBot="1" x14ac:dyDescent="0.25">
      <c r="K1" s="6"/>
      <c r="L1" s="6"/>
      <c r="M1" s="6"/>
      <c r="N1" s="6"/>
      <c r="O1" s="6"/>
      <c r="P1" s="6"/>
      <c r="Q1" s="6"/>
      <c r="R1" s="6"/>
      <c r="S1" s="6"/>
    </row>
    <row r="2" spans="2:19" ht="14.25" customHeight="1" x14ac:dyDescent="0.2">
      <c r="B2" s="824" t="s">
        <v>251</v>
      </c>
      <c r="C2" s="825"/>
      <c r="D2" s="825"/>
      <c r="E2" s="825"/>
      <c r="F2" s="825"/>
      <c r="G2" s="825"/>
      <c r="H2" s="825"/>
      <c r="I2" s="826"/>
      <c r="J2" s="282"/>
      <c r="K2" s="829" t="s">
        <v>251</v>
      </c>
      <c r="L2" s="830"/>
      <c r="M2" s="830"/>
      <c r="N2" s="830"/>
      <c r="O2" s="830"/>
      <c r="P2" s="830"/>
      <c r="Q2" s="830"/>
      <c r="R2" s="830"/>
      <c r="S2" s="831"/>
    </row>
    <row r="3" spans="2:19" ht="34.5" customHeight="1" x14ac:dyDescent="0.2">
      <c r="B3" s="827"/>
      <c r="C3" s="828"/>
      <c r="D3" s="828"/>
      <c r="E3" s="828"/>
      <c r="F3" s="828"/>
      <c r="G3" s="828"/>
      <c r="H3" s="828"/>
      <c r="I3" s="800"/>
      <c r="J3" s="282"/>
      <c r="K3" s="832"/>
      <c r="L3" s="833"/>
      <c r="M3" s="833"/>
      <c r="N3" s="833"/>
      <c r="O3" s="833"/>
      <c r="P3" s="833"/>
      <c r="Q3" s="833"/>
      <c r="R3" s="833"/>
      <c r="S3" s="834"/>
    </row>
    <row r="4" spans="2:19" ht="27.75" customHeight="1" x14ac:dyDescent="0.2">
      <c r="B4" s="835" t="s">
        <v>252</v>
      </c>
      <c r="C4" s="836"/>
      <c r="D4" s="836"/>
      <c r="E4" s="836"/>
      <c r="F4" s="837"/>
      <c r="G4" s="362" t="s">
        <v>489</v>
      </c>
      <c r="H4" s="363" t="s">
        <v>2</v>
      </c>
      <c r="I4" s="99" t="s">
        <v>0</v>
      </c>
      <c r="J4" s="283"/>
      <c r="K4" s="841" t="s">
        <v>252</v>
      </c>
      <c r="L4" s="842"/>
      <c r="M4" s="842"/>
      <c r="N4" s="842"/>
      <c r="O4" s="842"/>
      <c r="P4" s="843" t="s">
        <v>744</v>
      </c>
      <c r="Q4" s="843"/>
      <c r="R4" s="363" t="s">
        <v>0</v>
      </c>
      <c r="S4" s="128" t="s">
        <v>2</v>
      </c>
    </row>
    <row r="5" spans="2:19" ht="27.75" customHeight="1" x14ac:dyDescent="0.25">
      <c r="B5" s="838"/>
      <c r="C5" s="839"/>
      <c r="D5" s="839"/>
      <c r="E5" s="839"/>
      <c r="F5" s="840"/>
      <c r="G5" s="100" t="s">
        <v>512</v>
      </c>
      <c r="H5" s="136">
        <v>3</v>
      </c>
      <c r="I5" s="101" t="s">
        <v>253</v>
      </c>
      <c r="J5" s="284"/>
      <c r="K5" s="841"/>
      <c r="L5" s="842"/>
      <c r="M5" s="842"/>
      <c r="N5" s="842"/>
      <c r="O5" s="842"/>
      <c r="P5" s="844" t="s">
        <v>490</v>
      </c>
      <c r="Q5" s="844"/>
      <c r="R5" s="136" t="s">
        <v>254</v>
      </c>
      <c r="S5" s="127">
        <v>4</v>
      </c>
    </row>
    <row r="6" spans="2:19" ht="33.75" customHeight="1" x14ac:dyDescent="0.2">
      <c r="B6" s="806" t="s">
        <v>255</v>
      </c>
      <c r="C6" s="807"/>
      <c r="D6" s="807"/>
      <c r="E6" s="807"/>
      <c r="F6" s="807"/>
      <c r="G6" s="807"/>
      <c r="H6" s="808"/>
      <c r="I6" s="809"/>
      <c r="J6" s="283"/>
      <c r="K6" s="810" t="s">
        <v>256</v>
      </c>
      <c r="L6" s="811"/>
      <c r="M6" s="811"/>
      <c r="N6" s="811"/>
      <c r="O6" s="811"/>
      <c r="P6" s="811"/>
      <c r="Q6" s="811"/>
      <c r="R6" s="811"/>
      <c r="S6" s="812"/>
    </row>
    <row r="7" spans="2:19" ht="15" customHeight="1" x14ac:dyDescent="0.2">
      <c r="B7" s="813" t="s">
        <v>257</v>
      </c>
      <c r="C7" s="814"/>
      <c r="D7" s="816">
        <v>1</v>
      </c>
      <c r="E7" s="816">
        <v>2</v>
      </c>
      <c r="F7" s="816">
        <v>3</v>
      </c>
      <c r="G7" s="818" t="s">
        <v>258</v>
      </c>
      <c r="H7" s="820" t="s">
        <v>96</v>
      </c>
      <c r="I7" s="809"/>
      <c r="J7" s="283"/>
      <c r="K7" s="822" t="s">
        <v>745</v>
      </c>
      <c r="L7" s="823"/>
      <c r="M7" s="823" t="s">
        <v>840</v>
      </c>
      <c r="N7" s="823" t="s">
        <v>841</v>
      </c>
      <c r="O7" s="823" t="s">
        <v>842</v>
      </c>
      <c r="P7" s="823" t="s">
        <v>843</v>
      </c>
      <c r="Q7" s="823" t="s">
        <v>258</v>
      </c>
      <c r="R7" s="820" t="s">
        <v>96</v>
      </c>
      <c r="S7" s="809"/>
    </row>
    <row r="8" spans="2:19" ht="15.75" customHeight="1" x14ac:dyDescent="0.2">
      <c r="B8" s="810"/>
      <c r="C8" s="815"/>
      <c r="D8" s="817"/>
      <c r="E8" s="817"/>
      <c r="F8" s="817"/>
      <c r="G8" s="819"/>
      <c r="H8" s="821"/>
      <c r="I8" s="812"/>
      <c r="J8" s="283"/>
      <c r="K8" s="822"/>
      <c r="L8" s="823"/>
      <c r="M8" s="823"/>
      <c r="N8" s="823"/>
      <c r="O8" s="823"/>
      <c r="P8" s="823"/>
      <c r="Q8" s="823"/>
      <c r="R8" s="821"/>
      <c r="S8" s="812"/>
    </row>
    <row r="9" spans="2:19" ht="15.75" customHeight="1" thickBot="1" x14ac:dyDescent="0.3">
      <c r="B9" s="102">
        <v>3</v>
      </c>
      <c r="C9" s="103">
        <v>500</v>
      </c>
      <c r="D9" s="103">
        <v>3</v>
      </c>
      <c r="E9" s="103">
        <v>50</v>
      </c>
      <c r="F9" s="103"/>
      <c r="G9" s="103"/>
      <c r="H9" s="802"/>
      <c r="I9" s="803"/>
      <c r="J9" s="285"/>
      <c r="K9" s="102">
        <v>3</v>
      </c>
      <c r="L9" s="103">
        <v>500</v>
      </c>
      <c r="M9" s="293">
        <v>3</v>
      </c>
      <c r="N9" s="293"/>
      <c r="O9" s="293">
        <v>50</v>
      </c>
      <c r="P9" s="293"/>
      <c r="Q9" s="293"/>
      <c r="R9" s="804"/>
      <c r="S9" s="805"/>
    </row>
    <row r="10" spans="2:19" ht="20.25" customHeight="1" x14ac:dyDescent="0.2">
      <c r="B10" s="778" t="s">
        <v>259</v>
      </c>
      <c r="C10" s="104">
        <v>1</v>
      </c>
      <c r="D10" s="35">
        <v>226</v>
      </c>
      <c r="E10" s="35">
        <v>169</v>
      </c>
      <c r="F10" s="35">
        <v>11</v>
      </c>
      <c r="G10" s="105">
        <f>+D10+E10+F10</f>
        <v>406</v>
      </c>
      <c r="H10" s="795"/>
      <c r="I10" s="796"/>
      <c r="J10" s="286"/>
      <c r="K10" s="801" t="s">
        <v>259</v>
      </c>
      <c r="L10" s="294">
        <v>1</v>
      </c>
      <c r="M10" s="295">
        <v>225</v>
      </c>
      <c r="N10" s="295">
        <v>169</v>
      </c>
      <c r="O10" s="295">
        <v>11</v>
      </c>
      <c r="P10" s="295">
        <v>0</v>
      </c>
      <c r="Q10" s="108">
        <f>SUM(M10:P10)</f>
        <v>405</v>
      </c>
      <c r="R10" s="799"/>
      <c r="S10" s="800"/>
    </row>
    <row r="11" spans="2:19" ht="16.5" customHeight="1" x14ac:dyDescent="0.2">
      <c r="B11" s="779"/>
      <c r="C11" s="106" t="s">
        <v>263</v>
      </c>
      <c r="D11" s="36">
        <f>+D10*0.4</f>
        <v>90.4</v>
      </c>
      <c r="E11" s="36">
        <f t="shared" ref="E11" si="0">+E10*0.4</f>
        <v>67.600000000000009</v>
      </c>
      <c r="F11" s="36">
        <f>+F10*0.4</f>
        <v>4.4000000000000004</v>
      </c>
      <c r="G11" s="36">
        <f>+D11+E11+F11</f>
        <v>162.4</v>
      </c>
      <c r="H11" s="791"/>
      <c r="I11" s="792"/>
      <c r="J11" s="286"/>
      <c r="K11" s="801"/>
      <c r="L11" s="296">
        <v>0.4</v>
      </c>
      <c r="M11" s="36">
        <f>M10*0.4</f>
        <v>90</v>
      </c>
      <c r="N11" s="36">
        <f>N10*0.4</f>
        <v>67.600000000000009</v>
      </c>
      <c r="O11" s="36">
        <v>5</v>
      </c>
      <c r="P11" s="36">
        <f>P10*0.4</f>
        <v>0</v>
      </c>
      <c r="Q11" s="84">
        <f>SUM(M11:P11)</f>
        <v>162.60000000000002</v>
      </c>
      <c r="R11" s="784"/>
      <c r="S11" s="785"/>
    </row>
    <row r="12" spans="2:19" ht="25.5" customHeight="1" thickBot="1" x14ac:dyDescent="0.25">
      <c r="B12" s="780"/>
      <c r="C12" s="107">
        <v>0.6</v>
      </c>
      <c r="D12" s="37">
        <f>+D10*0.6</f>
        <v>135.6</v>
      </c>
      <c r="E12" s="37">
        <f t="shared" ref="E12" si="1">+E10*0.6</f>
        <v>101.39999999999999</v>
      </c>
      <c r="F12" s="37">
        <f>+F10*0.6</f>
        <v>6.6</v>
      </c>
      <c r="G12" s="37">
        <f>+D12+E12+F12</f>
        <v>243.6</v>
      </c>
      <c r="H12" s="793"/>
      <c r="I12" s="794"/>
      <c r="J12" s="286"/>
      <c r="K12" s="801"/>
      <c r="L12" s="297">
        <v>0.6</v>
      </c>
      <c r="M12" s="37">
        <v>135</v>
      </c>
      <c r="N12" s="37">
        <f>N10*0.6</f>
        <v>101.39999999999999</v>
      </c>
      <c r="O12" s="37">
        <v>6</v>
      </c>
      <c r="P12" s="37">
        <f>P10*0.6</f>
        <v>0</v>
      </c>
      <c r="Q12" s="298">
        <f>SUM(M12:P12)</f>
        <v>242.39999999999998</v>
      </c>
      <c r="R12" s="786"/>
      <c r="S12" s="787"/>
    </row>
    <row r="13" spans="2:19" x14ac:dyDescent="0.2">
      <c r="B13" s="778" t="s">
        <v>260</v>
      </c>
      <c r="C13" s="104" t="s">
        <v>258</v>
      </c>
      <c r="D13" s="35">
        <v>226</v>
      </c>
      <c r="E13" s="35">
        <v>165</v>
      </c>
      <c r="F13" s="35">
        <v>11</v>
      </c>
      <c r="G13" s="108">
        <f t="shared" ref="G13:G39" si="2">+D13+E13+F13</f>
        <v>402</v>
      </c>
      <c r="H13" s="795"/>
      <c r="I13" s="796"/>
      <c r="J13" s="286"/>
      <c r="K13" s="778" t="s">
        <v>260</v>
      </c>
      <c r="L13" s="294" t="s">
        <v>258</v>
      </c>
      <c r="M13" s="295">
        <f>M10</f>
        <v>225</v>
      </c>
      <c r="N13" s="295">
        <f>N10</f>
        <v>169</v>
      </c>
      <c r="O13" s="295">
        <f>O10</f>
        <v>11</v>
      </c>
      <c r="P13" s="295">
        <f>P10</f>
        <v>0</v>
      </c>
      <c r="Q13" s="108">
        <f t="shared" ref="Q13:Q26" si="3">SUM(M13:P13)</f>
        <v>405</v>
      </c>
      <c r="R13" s="799"/>
      <c r="S13" s="800"/>
    </row>
    <row r="14" spans="2:19" x14ac:dyDescent="0.2">
      <c r="B14" s="779"/>
      <c r="C14" s="106" t="s">
        <v>263</v>
      </c>
      <c r="D14" s="36">
        <f>+D13*0.4</f>
        <v>90.4</v>
      </c>
      <c r="E14" s="36">
        <f>+E13*0.4</f>
        <v>66</v>
      </c>
      <c r="F14" s="36">
        <v>4</v>
      </c>
      <c r="G14" s="36">
        <f t="shared" si="2"/>
        <v>160.4</v>
      </c>
      <c r="H14" s="791"/>
      <c r="I14" s="792"/>
      <c r="J14" s="286"/>
      <c r="K14" s="779"/>
      <c r="L14" s="296">
        <v>0.4</v>
      </c>
      <c r="M14" s="36">
        <v>15</v>
      </c>
      <c r="N14" s="36">
        <v>0</v>
      </c>
      <c r="O14" s="36">
        <v>0</v>
      </c>
      <c r="P14" s="36">
        <v>0</v>
      </c>
      <c r="Q14" s="36">
        <f t="shared" si="3"/>
        <v>15</v>
      </c>
      <c r="R14" s="784"/>
      <c r="S14" s="785"/>
    </row>
    <row r="15" spans="2:19" ht="12.75" customHeight="1" thickBot="1" x14ac:dyDescent="0.25">
      <c r="B15" s="780"/>
      <c r="C15" s="107">
        <v>0.6</v>
      </c>
      <c r="D15" s="38">
        <f>+D13*0.6</f>
        <v>135.6</v>
      </c>
      <c r="E15" s="38">
        <f>+E13*0.6</f>
        <v>99</v>
      </c>
      <c r="F15" s="38">
        <v>7</v>
      </c>
      <c r="G15" s="38">
        <f t="shared" si="2"/>
        <v>241.6</v>
      </c>
      <c r="H15" s="793"/>
      <c r="I15" s="794"/>
      <c r="J15" s="286"/>
      <c r="K15" s="780"/>
      <c r="L15" s="297">
        <v>0.6</v>
      </c>
      <c r="M15" s="37">
        <v>0</v>
      </c>
      <c r="N15" s="37">
        <v>0</v>
      </c>
      <c r="O15" s="37">
        <v>0</v>
      </c>
      <c r="P15" s="37">
        <v>0</v>
      </c>
      <c r="Q15" s="37">
        <f t="shared" si="3"/>
        <v>0</v>
      </c>
      <c r="R15" s="786"/>
      <c r="S15" s="787"/>
    </row>
    <row r="16" spans="2:19" ht="15" customHeight="1" x14ac:dyDescent="0.2">
      <c r="B16" s="778" t="s">
        <v>261</v>
      </c>
      <c r="C16" s="104" t="s">
        <v>258</v>
      </c>
      <c r="D16" s="35">
        <v>226</v>
      </c>
      <c r="E16" s="35">
        <v>169</v>
      </c>
      <c r="F16" s="35">
        <v>11</v>
      </c>
      <c r="G16" s="105">
        <f t="shared" si="2"/>
        <v>406</v>
      </c>
      <c r="H16" s="795"/>
      <c r="I16" s="796"/>
      <c r="J16" s="286"/>
      <c r="K16" s="778" t="s">
        <v>262</v>
      </c>
      <c r="L16" s="294" t="s">
        <v>258</v>
      </c>
      <c r="M16" s="295">
        <f>M10</f>
        <v>225</v>
      </c>
      <c r="N16" s="295">
        <f>N10</f>
        <v>169</v>
      </c>
      <c r="O16" s="295">
        <f>O10</f>
        <v>11</v>
      </c>
      <c r="P16" s="295">
        <f>P10</f>
        <v>0</v>
      </c>
      <c r="Q16" s="108">
        <f t="shared" si="3"/>
        <v>405</v>
      </c>
      <c r="R16" s="799"/>
      <c r="S16" s="800"/>
    </row>
    <row r="17" spans="2:19" ht="15.75" customHeight="1" x14ac:dyDescent="0.2">
      <c r="B17" s="779"/>
      <c r="C17" s="106" t="s">
        <v>263</v>
      </c>
      <c r="D17" s="36">
        <f>+D16*0.4</f>
        <v>90.4</v>
      </c>
      <c r="E17" s="36">
        <f>+E16*0.4</f>
        <v>67.600000000000009</v>
      </c>
      <c r="F17" s="36">
        <f>+F16*0.4</f>
        <v>4.4000000000000004</v>
      </c>
      <c r="G17" s="36">
        <f t="shared" si="2"/>
        <v>162.4</v>
      </c>
      <c r="H17" s="791"/>
      <c r="I17" s="792"/>
      <c r="J17" s="286"/>
      <c r="K17" s="779"/>
      <c r="L17" s="296" t="s">
        <v>263</v>
      </c>
      <c r="M17" s="36">
        <v>91</v>
      </c>
      <c r="N17" s="36">
        <v>18</v>
      </c>
      <c r="O17" s="36">
        <v>5</v>
      </c>
      <c r="P17" s="36">
        <v>0</v>
      </c>
      <c r="Q17" s="36">
        <f t="shared" si="3"/>
        <v>114</v>
      </c>
      <c r="R17" s="784"/>
      <c r="S17" s="785"/>
    </row>
    <row r="18" spans="2:19" ht="23.25" customHeight="1" thickBot="1" x14ac:dyDescent="0.25">
      <c r="B18" s="780"/>
      <c r="C18" s="107">
        <v>0.6</v>
      </c>
      <c r="D18" s="36">
        <f>+D16*0.6</f>
        <v>135.6</v>
      </c>
      <c r="E18" s="36">
        <f>+E16*0.6</f>
        <v>101.39999999999999</v>
      </c>
      <c r="F18" s="36">
        <f>+F16*0.6</f>
        <v>6.6</v>
      </c>
      <c r="G18" s="37">
        <f t="shared" si="2"/>
        <v>243.6</v>
      </c>
      <c r="H18" s="791"/>
      <c r="I18" s="792"/>
      <c r="J18" s="286"/>
      <c r="K18" s="780"/>
      <c r="L18" s="297">
        <v>0.6</v>
      </c>
      <c r="M18" s="37">
        <v>38</v>
      </c>
      <c r="N18" s="37">
        <v>0</v>
      </c>
      <c r="O18" s="37">
        <v>6</v>
      </c>
      <c r="P18" s="37">
        <v>0</v>
      </c>
      <c r="Q18" s="37">
        <f t="shared" si="3"/>
        <v>44</v>
      </c>
      <c r="R18" s="784"/>
      <c r="S18" s="785"/>
    </row>
    <row r="19" spans="2:19" ht="13.5" customHeight="1" x14ac:dyDescent="0.2">
      <c r="B19" s="778" t="s">
        <v>264</v>
      </c>
      <c r="C19" s="104" t="s">
        <v>258</v>
      </c>
      <c r="D19" s="35">
        <v>0</v>
      </c>
      <c r="E19" s="35">
        <v>0</v>
      </c>
      <c r="F19" s="35">
        <v>0</v>
      </c>
      <c r="G19" s="108">
        <f t="shared" si="2"/>
        <v>0</v>
      </c>
      <c r="H19" s="791"/>
      <c r="I19" s="792"/>
      <c r="J19" s="286"/>
      <c r="K19" s="778" t="s">
        <v>264</v>
      </c>
      <c r="L19" s="294" t="s">
        <v>258</v>
      </c>
      <c r="M19" s="295">
        <f>M10</f>
        <v>225</v>
      </c>
      <c r="N19" s="295">
        <f>N10</f>
        <v>169</v>
      </c>
      <c r="O19" s="295">
        <f>O10</f>
        <v>11</v>
      </c>
      <c r="P19" s="295">
        <f>P10</f>
        <v>0</v>
      </c>
      <c r="Q19" s="108">
        <f t="shared" si="3"/>
        <v>405</v>
      </c>
      <c r="R19" s="784"/>
      <c r="S19" s="785"/>
    </row>
    <row r="20" spans="2:19" ht="15" customHeight="1" x14ac:dyDescent="0.2">
      <c r="B20" s="779"/>
      <c r="C20" s="106" t="s">
        <v>263</v>
      </c>
      <c r="D20" s="36">
        <f>+D19*0.4</f>
        <v>0</v>
      </c>
      <c r="E20" s="36">
        <f>+E19*0.4</f>
        <v>0</v>
      </c>
      <c r="F20" s="36">
        <f>+F19*0.4</f>
        <v>0</v>
      </c>
      <c r="G20" s="36">
        <f t="shared" si="2"/>
        <v>0</v>
      </c>
      <c r="H20" s="791"/>
      <c r="I20" s="792"/>
      <c r="J20" s="286"/>
      <c r="K20" s="779"/>
      <c r="L20" s="296" t="s">
        <v>263</v>
      </c>
      <c r="M20" s="36">
        <v>0</v>
      </c>
      <c r="N20" s="36">
        <f t="shared" ref="N20:P21" si="4">N11-N17</f>
        <v>49.600000000000009</v>
      </c>
      <c r="O20" s="85">
        <f t="shared" si="4"/>
        <v>0</v>
      </c>
      <c r="P20" s="36">
        <f t="shared" si="4"/>
        <v>0</v>
      </c>
      <c r="Q20" s="36">
        <f t="shared" si="3"/>
        <v>49.600000000000009</v>
      </c>
      <c r="R20" s="784"/>
      <c r="S20" s="785"/>
    </row>
    <row r="21" spans="2:19" ht="17.25" customHeight="1" thickBot="1" x14ac:dyDescent="0.25">
      <c r="B21" s="780"/>
      <c r="C21" s="107">
        <v>0.6</v>
      </c>
      <c r="D21" s="36">
        <f>+D19*0.6</f>
        <v>0</v>
      </c>
      <c r="E21" s="36">
        <f>+E19*0.6</f>
        <v>0</v>
      </c>
      <c r="F21" s="36">
        <f>+F19*0.6</f>
        <v>0</v>
      </c>
      <c r="G21" s="36">
        <f t="shared" si="2"/>
        <v>0</v>
      </c>
      <c r="H21" s="791"/>
      <c r="I21" s="792"/>
      <c r="J21" s="286"/>
      <c r="K21" s="780"/>
      <c r="L21" s="297">
        <v>0.6</v>
      </c>
      <c r="M21" s="37">
        <f>M42</f>
        <v>47</v>
      </c>
      <c r="N21" s="37">
        <f t="shared" si="4"/>
        <v>101.39999999999999</v>
      </c>
      <c r="O21" s="37">
        <f t="shared" si="4"/>
        <v>0</v>
      </c>
      <c r="P21" s="37">
        <f t="shared" si="4"/>
        <v>0</v>
      </c>
      <c r="Q21" s="37">
        <f t="shared" si="3"/>
        <v>148.39999999999998</v>
      </c>
      <c r="R21" s="784"/>
      <c r="S21" s="785"/>
    </row>
    <row r="22" spans="2:19" ht="15.75" customHeight="1" x14ac:dyDescent="0.2">
      <c r="B22" s="778" t="s">
        <v>515</v>
      </c>
      <c r="C22" s="104" t="s">
        <v>258</v>
      </c>
      <c r="D22" s="35">
        <v>225</v>
      </c>
      <c r="E22" s="35">
        <v>164</v>
      </c>
      <c r="F22" s="35">
        <v>11</v>
      </c>
      <c r="G22" s="105">
        <f t="shared" si="2"/>
        <v>400</v>
      </c>
      <c r="H22" s="791"/>
      <c r="I22" s="792"/>
      <c r="J22" s="286"/>
      <c r="K22" s="778" t="s">
        <v>265</v>
      </c>
      <c r="L22" s="294" t="s">
        <v>258</v>
      </c>
      <c r="M22" s="295">
        <f>M10+5</f>
        <v>230</v>
      </c>
      <c r="N22" s="295">
        <f>N10</f>
        <v>169</v>
      </c>
      <c r="O22" s="295">
        <f>O10</f>
        <v>11</v>
      </c>
      <c r="P22" s="295">
        <f>P10</f>
        <v>0</v>
      </c>
      <c r="Q22" s="108">
        <f t="shared" si="3"/>
        <v>410</v>
      </c>
      <c r="R22" s="364"/>
      <c r="S22" s="365"/>
    </row>
    <row r="23" spans="2:19" x14ac:dyDescent="0.2">
      <c r="B23" s="779"/>
      <c r="C23" s="106" t="s">
        <v>263</v>
      </c>
      <c r="D23" s="36">
        <f>+D22*0.4</f>
        <v>90</v>
      </c>
      <c r="E23" s="36">
        <f>+E22*0.4</f>
        <v>65.600000000000009</v>
      </c>
      <c r="F23" s="36">
        <f>+F22*0.4</f>
        <v>4.4000000000000004</v>
      </c>
      <c r="G23" s="36">
        <f t="shared" si="2"/>
        <v>160.00000000000003</v>
      </c>
      <c r="H23" s="791"/>
      <c r="I23" s="792"/>
      <c r="J23" s="286"/>
      <c r="K23" s="779"/>
      <c r="L23" s="296" t="s">
        <v>263</v>
      </c>
      <c r="M23" s="36">
        <v>105</v>
      </c>
      <c r="N23" s="36">
        <v>18</v>
      </c>
      <c r="O23" s="36">
        <v>5</v>
      </c>
      <c r="P23" s="36">
        <v>0</v>
      </c>
      <c r="Q23" s="36">
        <f t="shared" si="3"/>
        <v>128</v>
      </c>
      <c r="R23" s="364"/>
      <c r="S23" s="365"/>
    </row>
    <row r="24" spans="2:19" ht="15" customHeight="1" thickBot="1" x14ac:dyDescent="0.25">
      <c r="B24" s="780"/>
      <c r="C24" s="107">
        <v>0.6</v>
      </c>
      <c r="D24" s="36">
        <f>+D22*0.6</f>
        <v>135</v>
      </c>
      <c r="E24" s="36">
        <f>+E22*0.6</f>
        <v>98.399999999999991</v>
      </c>
      <c r="F24" s="36">
        <f>+F22*0.6</f>
        <v>6.6</v>
      </c>
      <c r="G24" s="36">
        <f t="shared" si="2"/>
        <v>239.99999999999997</v>
      </c>
      <c r="H24" s="791"/>
      <c r="I24" s="792"/>
      <c r="J24" s="286"/>
      <c r="K24" s="780"/>
      <c r="L24" s="297">
        <v>0.6</v>
      </c>
      <c r="M24" s="37">
        <v>158</v>
      </c>
      <c r="N24" s="37">
        <v>4</v>
      </c>
      <c r="O24" s="37">
        <v>6</v>
      </c>
      <c r="P24" s="37">
        <v>0</v>
      </c>
      <c r="Q24" s="37">
        <f t="shared" si="3"/>
        <v>168</v>
      </c>
      <c r="R24" s="364"/>
      <c r="S24" s="365"/>
    </row>
    <row r="25" spans="2:19" ht="15" customHeight="1" x14ac:dyDescent="0.2">
      <c r="B25" s="778" t="s">
        <v>266</v>
      </c>
      <c r="C25" s="104" t="s">
        <v>258</v>
      </c>
      <c r="D25" s="35">
        <v>1</v>
      </c>
      <c r="E25" s="35">
        <v>5</v>
      </c>
      <c r="F25" s="35">
        <v>0</v>
      </c>
      <c r="G25" s="105">
        <f t="shared" si="2"/>
        <v>6</v>
      </c>
      <c r="H25" s="791"/>
      <c r="I25" s="792"/>
      <c r="J25" s="286"/>
      <c r="K25" s="778" t="s">
        <v>746</v>
      </c>
      <c r="L25" s="294" t="s">
        <v>258</v>
      </c>
      <c r="M25" s="295">
        <f>M19</f>
        <v>225</v>
      </c>
      <c r="N25" s="295">
        <f>N19+4</f>
        <v>173</v>
      </c>
      <c r="O25" s="295">
        <f>O19</f>
        <v>11</v>
      </c>
      <c r="P25" s="295">
        <f>P19</f>
        <v>0</v>
      </c>
      <c r="Q25" s="108">
        <f t="shared" si="3"/>
        <v>409</v>
      </c>
      <c r="R25" s="784"/>
      <c r="S25" s="785"/>
    </row>
    <row r="26" spans="2:19" x14ac:dyDescent="0.2">
      <c r="B26" s="779"/>
      <c r="C26" s="106" t="s">
        <v>263</v>
      </c>
      <c r="D26" s="36">
        <f>+D25*0.4</f>
        <v>0.4</v>
      </c>
      <c r="E26" s="36">
        <f>+E25*0.4</f>
        <v>2</v>
      </c>
      <c r="F26" s="36">
        <f>+F25*0.4</f>
        <v>0</v>
      </c>
      <c r="G26" s="36">
        <f t="shared" si="2"/>
        <v>2.4</v>
      </c>
      <c r="H26" s="791"/>
      <c r="I26" s="792"/>
      <c r="J26" s="286"/>
      <c r="K26" s="779"/>
      <c r="L26" s="296" t="s">
        <v>263</v>
      </c>
      <c r="M26" s="36">
        <v>91</v>
      </c>
      <c r="N26" s="36">
        <v>18</v>
      </c>
      <c r="O26" s="36">
        <v>5</v>
      </c>
      <c r="P26" s="36">
        <v>0</v>
      </c>
      <c r="Q26" s="36">
        <f t="shared" si="3"/>
        <v>114</v>
      </c>
      <c r="R26" s="784"/>
      <c r="S26" s="785"/>
    </row>
    <row r="27" spans="2:19" ht="18" customHeight="1" thickBot="1" x14ac:dyDescent="0.25">
      <c r="B27" s="780"/>
      <c r="C27" s="107">
        <v>0.6</v>
      </c>
      <c r="D27" s="36">
        <f>+D25*0.6</f>
        <v>0.6</v>
      </c>
      <c r="E27" s="36">
        <f>+E25*0.6</f>
        <v>3</v>
      </c>
      <c r="F27" s="36">
        <f>+F25*0.6</f>
        <v>0</v>
      </c>
      <c r="G27" s="36">
        <f t="shared" si="2"/>
        <v>3.6</v>
      </c>
      <c r="H27" s="791"/>
      <c r="I27" s="792"/>
      <c r="J27" s="286"/>
      <c r="K27" s="780"/>
      <c r="L27" s="297">
        <v>0.6</v>
      </c>
      <c r="M27" s="37">
        <v>43</v>
      </c>
      <c r="N27" s="37">
        <v>4</v>
      </c>
      <c r="O27" s="37">
        <v>6</v>
      </c>
      <c r="P27" s="37">
        <v>0</v>
      </c>
      <c r="Q27" s="37">
        <f>SUM(M27:P27)</f>
        <v>53</v>
      </c>
      <c r="R27" s="784"/>
      <c r="S27" s="785"/>
    </row>
    <row r="28" spans="2:19" ht="15" customHeight="1" x14ac:dyDescent="0.2">
      <c r="B28" s="778" t="s">
        <v>516</v>
      </c>
      <c r="C28" s="104" t="s">
        <v>258</v>
      </c>
      <c r="D28" s="35">
        <v>9</v>
      </c>
      <c r="E28" s="35">
        <v>6</v>
      </c>
      <c r="F28" s="35">
        <v>0</v>
      </c>
      <c r="G28" s="105">
        <f t="shared" si="2"/>
        <v>15</v>
      </c>
      <c r="H28" s="791"/>
      <c r="I28" s="792"/>
      <c r="J28" s="286"/>
      <c r="K28" s="778" t="s">
        <v>747</v>
      </c>
      <c r="L28" s="294" t="s">
        <v>258</v>
      </c>
      <c r="M28" s="295">
        <f>M22</f>
        <v>230</v>
      </c>
      <c r="N28" s="295">
        <f>N22</f>
        <v>169</v>
      </c>
      <c r="O28" s="295">
        <f>O22</f>
        <v>11</v>
      </c>
      <c r="P28" s="295">
        <f>P22</f>
        <v>0</v>
      </c>
      <c r="Q28" s="108">
        <f t="shared" ref="Q28:Q32" si="5">SUM(M28:P28)</f>
        <v>410</v>
      </c>
      <c r="R28" s="784"/>
      <c r="S28" s="785"/>
    </row>
    <row r="29" spans="2:19" x14ac:dyDescent="0.2">
      <c r="B29" s="779"/>
      <c r="C29" s="106" t="s">
        <v>263</v>
      </c>
      <c r="D29" s="36">
        <f>+D28*0.4</f>
        <v>3.6</v>
      </c>
      <c r="E29" s="36">
        <f>+E28*0.4</f>
        <v>2.4000000000000004</v>
      </c>
      <c r="F29" s="36">
        <f>+F28*0.4</f>
        <v>0</v>
      </c>
      <c r="G29" s="36">
        <f t="shared" si="2"/>
        <v>6</v>
      </c>
      <c r="H29" s="791" t="s">
        <v>267</v>
      </c>
      <c r="I29" s="792"/>
      <c r="J29" s="286"/>
      <c r="K29" s="779"/>
      <c r="L29" s="296" t="s">
        <v>263</v>
      </c>
      <c r="M29" s="36">
        <v>1</v>
      </c>
      <c r="N29" s="36">
        <f>N23-N26</f>
        <v>0</v>
      </c>
      <c r="O29" s="36">
        <f>O23-O26</f>
        <v>0</v>
      </c>
      <c r="P29" s="36">
        <v>0</v>
      </c>
      <c r="Q29" s="36">
        <f t="shared" si="5"/>
        <v>1</v>
      </c>
      <c r="R29" s="784"/>
      <c r="S29" s="785"/>
    </row>
    <row r="30" spans="2:19" ht="15" customHeight="1" thickBot="1" x14ac:dyDescent="0.25">
      <c r="B30" s="780"/>
      <c r="C30" s="107" t="s">
        <v>513</v>
      </c>
      <c r="D30" s="37">
        <f>+D28*0.6</f>
        <v>5.3999999999999995</v>
      </c>
      <c r="E30" s="37">
        <f>+E28*0.6</f>
        <v>3.5999999999999996</v>
      </c>
      <c r="F30" s="37">
        <f>+F28*0.6</f>
        <v>0</v>
      </c>
      <c r="G30" s="37">
        <f t="shared" si="2"/>
        <v>9</v>
      </c>
      <c r="H30" s="793"/>
      <c r="I30" s="794"/>
      <c r="J30" s="286"/>
      <c r="K30" s="780"/>
      <c r="L30" s="297">
        <v>0.6</v>
      </c>
      <c r="M30" s="37">
        <f>M24-M27</f>
        <v>115</v>
      </c>
      <c r="N30" s="37">
        <f>N24-N27</f>
        <v>0</v>
      </c>
      <c r="O30" s="37">
        <f>O24-O27</f>
        <v>0</v>
      </c>
      <c r="P30" s="37">
        <v>0</v>
      </c>
      <c r="Q30" s="37">
        <f t="shared" si="5"/>
        <v>115</v>
      </c>
      <c r="R30" s="784"/>
      <c r="S30" s="785"/>
    </row>
    <row r="31" spans="2:19" ht="15" customHeight="1" x14ac:dyDescent="0.2">
      <c r="B31" s="778" t="s">
        <v>268</v>
      </c>
      <c r="C31" s="104" t="s">
        <v>258</v>
      </c>
      <c r="D31" s="35">
        <v>225</v>
      </c>
      <c r="E31" s="35">
        <v>163</v>
      </c>
      <c r="F31" s="35">
        <v>11</v>
      </c>
      <c r="G31" s="105">
        <f t="shared" si="2"/>
        <v>399</v>
      </c>
      <c r="H31" s="795"/>
      <c r="I31" s="796"/>
      <c r="J31" s="286"/>
      <c r="K31" s="778" t="s">
        <v>269</v>
      </c>
      <c r="L31" s="294" t="s">
        <v>258</v>
      </c>
      <c r="M31" s="295">
        <f>M10</f>
        <v>225</v>
      </c>
      <c r="N31" s="295">
        <f>N10</f>
        <v>169</v>
      </c>
      <c r="O31" s="295">
        <f>O10</f>
        <v>11</v>
      </c>
      <c r="P31" s="295">
        <f>P10</f>
        <v>0</v>
      </c>
      <c r="Q31" s="108">
        <f t="shared" si="5"/>
        <v>405</v>
      </c>
      <c r="R31" s="784"/>
      <c r="S31" s="785"/>
    </row>
    <row r="32" spans="2:19" x14ac:dyDescent="0.2">
      <c r="B32" s="779"/>
      <c r="C32" s="106" t="s">
        <v>263</v>
      </c>
      <c r="D32" s="36">
        <f>+D31*0.4</f>
        <v>90</v>
      </c>
      <c r="E32" s="36">
        <f>+E31*0.4</f>
        <v>65.2</v>
      </c>
      <c r="F32" s="36">
        <f>+F31*0.4</f>
        <v>4.4000000000000004</v>
      </c>
      <c r="G32" s="36">
        <f t="shared" si="2"/>
        <v>159.6</v>
      </c>
      <c r="H32" s="791"/>
      <c r="I32" s="792"/>
      <c r="J32" s="286"/>
      <c r="K32" s="779"/>
      <c r="L32" s="296" t="s">
        <v>263</v>
      </c>
      <c r="M32" s="36">
        <v>1</v>
      </c>
      <c r="N32" s="36">
        <v>0</v>
      </c>
      <c r="O32" s="36">
        <f>O17-O26</f>
        <v>0</v>
      </c>
      <c r="P32" s="36">
        <v>0</v>
      </c>
      <c r="Q32" s="36">
        <f t="shared" si="5"/>
        <v>1</v>
      </c>
      <c r="R32" s="784"/>
      <c r="S32" s="785"/>
    </row>
    <row r="33" spans="2:19" ht="15.75" customHeight="1" thickBot="1" x14ac:dyDescent="0.25">
      <c r="B33" s="780"/>
      <c r="C33" s="107">
        <v>0.6</v>
      </c>
      <c r="D33" s="36">
        <f>+D31*0.6</f>
        <v>135</v>
      </c>
      <c r="E33" s="36">
        <f>+E31*0.6</f>
        <v>97.8</v>
      </c>
      <c r="F33" s="36">
        <f>+F31*0.6</f>
        <v>6.6</v>
      </c>
      <c r="G33" s="36">
        <f t="shared" si="2"/>
        <v>239.4</v>
      </c>
      <c r="H33" s="791"/>
      <c r="I33" s="792"/>
      <c r="J33" s="286"/>
      <c r="K33" s="780"/>
      <c r="L33" s="297">
        <v>0.6</v>
      </c>
      <c r="M33" s="37">
        <v>0</v>
      </c>
      <c r="N33" s="37">
        <v>0</v>
      </c>
      <c r="O33" s="37">
        <f>O18-O27</f>
        <v>0</v>
      </c>
      <c r="P33" s="37">
        <v>0</v>
      </c>
      <c r="Q33" s="37">
        <f>SUM(M33:P33)</f>
        <v>0</v>
      </c>
      <c r="R33" s="786"/>
      <c r="S33" s="787"/>
    </row>
    <row r="34" spans="2:19" ht="15" customHeight="1" x14ac:dyDescent="0.2">
      <c r="B34" s="778" t="s">
        <v>517</v>
      </c>
      <c r="C34" s="104" t="s">
        <v>258</v>
      </c>
      <c r="D34" s="35">
        <v>225</v>
      </c>
      <c r="E34" s="35">
        <v>159</v>
      </c>
      <c r="F34" s="35">
        <v>10</v>
      </c>
      <c r="G34" s="105">
        <f t="shared" si="2"/>
        <v>394</v>
      </c>
      <c r="H34" s="791"/>
      <c r="I34" s="792"/>
      <c r="J34" s="286"/>
      <c r="K34" s="778" t="s">
        <v>270</v>
      </c>
      <c r="L34" s="294" t="s">
        <v>258</v>
      </c>
      <c r="M34" s="295">
        <v>242</v>
      </c>
      <c r="N34" s="295">
        <f>SUM(N35+N36)</f>
        <v>187</v>
      </c>
      <c r="O34" s="295">
        <f>O35+O36</f>
        <v>4</v>
      </c>
      <c r="P34" s="295">
        <v>0</v>
      </c>
      <c r="Q34" s="108">
        <f>SUM(M34:P34)</f>
        <v>433</v>
      </c>
      <c r="R34" s="797" t="s">
        <v>285</v>
      </c>
      <c r="S34" s="798"/>
    </row>
    <row r="35" spans="2:19" x14ac:dyDescent="0.2">
      <c r="B35" s="779"/>
      <c r="C35" s="106" t="s">
        <v>263</v>
      </c>
      <c r="D35" s="36">
        <f>+D34*0.4</f>
        <v>90</v>
      </c>
      <c r="E35" s="36">
        <f>+E34*0.4</f>
        <v>63.6</v>
      </c>
      <c r="F35" s="36">
        <f>+F34*0.4</f>
        <v>4</v>
      </c>
      <c r="G35" s="36">
        <f t="shared" si="2"/>
        <v>157.6</v>
      </c>
      <c r="H35" s="791"/>
      <c r="I35" s="792"/>
      <c r="J35" s="286"/>
      <c r="K35" s="779"/>
      <c r="L35" s="296" t="s">
        <v>263</v>
      </c>
      <c r="M35" s="36">
        <v>97</v>
      </c>
      <c r="N35" s="36">
        <v>75</v>
      </c>
      <c r="O35" s="36">
        <v>2</v>
      </c>
      <c r="P35" s="36">
        <v>1</v>
      </c>
      <c r="Q35" s="36">
        <f t="shared" ref="Q35:Q48" si="6">SUM(M35:P35)</f>
        <v>175</v>
      </c>
      <c r="R35" s="781"/>
      <c r="S35" s="782"/>
    </row>
    <row r="36" spans="2:19" ht="17.25" customHeight="1" thickBot="1" x14ac:dyDescent="0.25">
      <c r="B36" s="780"/>
      <c r="C36" s="107">
        <v>0.6</v>
      </c>
      <c r="D36" s="36">
        <f>+D34*0.6</f>
        <v>135</v>
      </c>
      <c r="E36" s="36">
        <f>+E34*0.6</f>
        <v>95.399999999999991</v>
      </c>
      <c r="F36" s="36">
        <f>+F34*0.6</f>
        <v>6</v>
      </c>
      <c r="G36" s="36">
        <f t="shared" si="2"/>
        <v>236.39999999999998</v>
      </c>
      <c r="H36" s="791"/>
      <c r="I36" s="792"/>
      <c r="J36" s="286"/>
      <c r="K36" s="780"/>
      <c r="L36" s="297">
        <v>0.6</v>
      </c>
      <c r="M36" s="37">
        <v>145</v>
      </c>
      <c r="N36" s="37">
        <v>112</v>
      </c>
      <c r="O36" s="37">
        <v>2</v>
      </c>
      <c r="P36" s="37">
        <v>2</v>
      </c>
      <c r="Q36" s="37">
        <f t="shared" si="6"/>
        <v>261</v>
      </c>
      <c r="R36" s="781"/>
      <c r="S36" s="782"/>
    </row>
    <row r="37" spans="2:19" ht="13.5" customHeight="1" x14ac:dyDescent="0.2">
      <c r="B37" s="778" t="s">
        <v>271</v>
      </c>
      <c r="C37" s="104" t="s">
        <v>258</v>
      </c>
      <c r="D37" s="35">
        <v>0</v>
      </c>
      <c r="E37" s="35">
        <v>4</v>
      </c>
      <c r="F37" s="35">
        <v>1</v>
      </c>
      <c r="G37" s="105">
        <f t="shared" si="2"/>
        <v>5</v>
      </c>
      <c r="H37" s="791"/>
      <c r="I37" s="792"/>
      <c r="J37" s="286"/>
      <c r="K37" s="778" t="s">
        <v>272</v>
      </c>
      <c r="L37" s="294" t="s">
        <v>258</v>
      </c>
      <c r="M37" s="295">
        <v>170</v>
      </c>
      <c r="N37" s="295">
        <f>N38+N39</f>
        <v>98</v>
      </c>
      <c r="O37" s="295">
        <f>O38+O39</f>
        <v>2</v>
      </c>
      <c r="P37" s="295">
        <v>0</v>
      </c>
      <c r="Q37" s="108">
        <f t="shared" si="6"/>
        <v>270</v>
      </c>
      <c r="R37" s="781" t="s">
        <v>285</v>
      </c>
      <c r="S37" s="782"/>
    </row>
    <row r="38" spans="2:19" x14ac:dyDescent="0.2">
      <c r="B38" s="779"/>
      <c r="C38" s="106" t="s">
        <v>263</v>
      </c>
      <c r="D38" s="36">
        <f>+D37*0.4</f>
        <v>0</v>
      </c>
      <c r="E38" s="36">
        <f>+E37*0.4</f>
        <v>1.6</v>
      </c>
      <c r="F38" s="36">
        <f>+F37*0.4</f>
        <v>0.4</v>
      </c>
      <c r="G38" s="36">
        <f t="shared" si="2"/>
        <v>2</v>
      </c>
      <c r="H38" s="791"/>
      <c r="I38" s="792"/>
      <c r="J38" s="286"/>
      <c r="K38" s="779"/>
      <c r="L38" s="296" t="s">
        <v>263</v>
      </c>
      <c r="M38" s="36">
        <v>68</v>
      </c>
      <c r="N38" s="36">
        <v>39</v>
      </c>
      <c r="O38" s="36">
        <v>0.8</v>
      </c>
      <c r="P38" s="36">
        <v>0</v>
      </c>
      <c r="Q38" s="36">
        <f t="shared" si="6"/>
        <v>107.8</v>
      </c>
      <c r="R38" s="781"/>
      <c r="S38" s="782"/>
    </row>
    <row r="39" spans="2:19" ht="14.25" customHeight="1" thickBot="1" x14ac:dyDescent="0.25">
      <c r="B39" s="780"/>
      <c r="C39" s="107">
        <v>0.6</v>
      </c>
      <c r="D39" s="36">
        <f>+D37*0.6</f>
        <v>0</v>
      </c>
      <c r="E39" s="36">
        <f>+E37*0.6</f>
        <v>2.4</v>
      </c>
      <c r="F39" s="36">
        <f>+F37*0.6</f>
        <v>0.6</v>
      </c>
      <c r="G39" s="36">
        <f t="shared" si="2"/>
        <v>3</v>
      </c>
      <c r="H39" s="791"/>
      <c r="I39" s="792"/>
      <c r="J39" s="286"/>
      <c r="K39" s="780"/>
      <c r="L39" s="299">
        <v>0.6</v>
      </c>
      <c r="M39" s="37">
        <v>102</v>
      </c>
      <c r="N39" s="37">
        <v>59</v>
      </c>
      <c r="O39" s="37">
        <v>1.2</v>
      </c>
      <c r="P39" s="37">
        <v>0</v>
      </c>
      <c r="Q39" s="37">
        <f t="shared" si="6"/>
        <v>162.19999999999999</v>
      </c>
      <c r="R39" s="781"/>
      <c r="S39" s="782"/>
    </row>
    <row r="40" spans="2:19" ht="13.5" customHeight="1" x14ac:dyDescent="0.2">
      <c r="B40" s="778" t="s">
        <v>518</v>
      </c>
      <c r="C40" s="104" t="s">
        <v>258</v>
      </c>
      <c r="D40" s="35">
        <v>6</v>
      </c>
      <c r="E40" s="35">
        <v>5</v>
      </c>
      <c r="F40" s="35">
        <v>0</v>
      </c>
      <c r="G40" s="105">
        <f>+D40+E40+F40</f>
        <v>11</v>
      </c>
      <c r="H40" s="791"/>
      <c r="I40" s="792"/>
      <c r="J40" s="286"/>
      <c r="K40" s="778" t="s">
        <v>273</v>
      </c>
      <c r="L40" s="294" t="s">
        <v>258</v>
      </c>
      <c r="M40" s="295">
        <v>79</v>
      </c>
      <c r="N40" s="295">
        <v>57</v>
      </c>
      <c r="O40" s="295">
        <f>O41+O42</f>
        <v>0</v>
      </c>
      <c r="P40" s="295">
        <v>0</v>
      </c>
      <c r="Q40" s="108">
        <f t="shared" si="6"/>
        <v>136</v>
      </c>
      <c r="R40" s="781" t="s">
        <v>285</v>
      </c>
      <c r="S40" s="782"/>
    </row>
    <row r="41" spans="2:19" x14ac:dyDescent="0.2">
      <c r="B41" s="779"/>
      <c r="C41" s="106" t="s">
        <v>263</v>
      </c>
      <c r="D41" s="36">
        <f>+D40*0.4</f>
        <v>2.4000000000000004</v>
      </c>
      <c r="E41" s="36">
        <f>+E40*0.4</f>
        <v>2</v>
      </c>
      <c r="F41" s="36">
        <f>+F40*0.4</f>
        <v>0</v>
      </c>
      <c r="G41" s="36">
        <v>0</v>
      </c>
      <c r="H41" s="791" t="s">
        <v>274</v>
      </c>
      <c r="I41" s="792"/>
      <c r="J41" s="286"/>
      <c r="K41" s="779"/>
      <c r="L41" s="296" t="s">
        <v>263</v>
      </c>
      <c r="M41" s="36">
        <v>32</v>
      </c>
      <c r="N41" s="36">
        <v>23</v>
      </c>
      <c r="O41" s="36">
        <v>0</v>
      </c>
      <c r="P41" s="36">
        <v>0</v>
      </c>
      <c r="Q41" s="36">
        <f t="shared" si="6"/>
        <v>55</v>
      </c>
      <c r="R41" s="781"/>
      <c r="S41" s="782"/>
    </row>
    <row r="42" spans="2:19" ht="17.25" customHeight="1" thickBot="1" x14ac:dyDescent="0.25">
      <c r="B42" s="783"/>
      <c r="C42" s="109">
        <v>0.6</v>
      </c>
      <c r="D42" s="37">
        <f>+D40*0.6</f>
        <v>3.5999999999999996</v>
      </c>
      <c r="E42" s="37">
        <f>+E40*0.6</f>
        <v>3</v>
      </c>
      <c r="F42" s="37">
        <f>+F40*0.6</f>
        <v>0</v>
      </c>
      <c r="G42" s="37">
        <f t="shared" ref="G42" si="7">+D42+E42+F42</f>
        <v>6.6</v>
      </c>
      <c r="H42" s="793"/>
      <c r="I42" s="794"/>
      <c r="J42" s="286"/>
      <c r="K42" s="780"/>
      <c r="L42" s="299">
        <v>0.6</v>
      </c>
      <c r="M42" s="37">
        <v>47</v>
      </c>
      <c r="N42" s="37">
        <v>34</v>
      </c>
      <c r="O42" s="37">
        <v>0</v>
      </c>
      <c r="P42" s="37">
        <v>0</v>
      </c>
      <c r="Q42" s="37">
        <f t="shared" si="6"/>
        <v>81</v>
      </c>
      <c r="R42" s="781"/>
      <c r="S42" s="782"/>
    </row>
    <row r="43" spans="2:19" ht="15" customHeight="1" x14ac:dyDescent="0.2">
      <c r="B43" s="34"/>
      <c r="K43" s="778" t="s">
        <v>275</v>
      </c>
      <c r="L43" s="294" t="s">
        <v>258</v>
      </c>
      <c r="M43" s="295">
        <v>97</v>
      </c>
      <c r="N43" s="295">
        <v>40</v>
      </c>
      <c r="O43" s="295">
        <f>O44+O45</f>
        <v>3.2</v>
      </c>
      <c r="P43" s="295">
        <v>0</v>
      </c>
      <c r="Q43" s="108">
        <f t="shared" si="6"/>
        <v>140.19999999999999</v>
      </c>
      <c r="R43" s="781" t="s">
        <v>285</v>
      </c>
      <c r="S43" s="782"/>
    </row>
    <row r="44" spans="2:19" ht="15.75" customHeight="1" x14ac:dyDescent="0.2">
      <c r="B44" s="34"/>
      <c r="K44" s="779"/>
      <c r="L44" s="296" t="s">
        <v>263</v>
      </c>
      <c r="M44" s="36">
        <v>32</v>
      </c>
      <c r="N44" s="36">
        <v>16</v>
      </c>
      <c r="O44" s="36">
        <v>1.2</v>
      </c>
      <c r="P44" s="36">
        <v>1</v>
      </c>
      <c r="Q44" s="36">
        <f t="shared" si="6"/>
        <v>50.2</v>
      </c>
      <c r="R44" s="781"/>
      <c r="S44" s="782"/>
    </row>
    <row r="45" spans="2:19" ht="27" customHeight="1" thickBot="1" x14ac:dyDescent="0.25">
      <c r="B45" s="788"/>
      <c r="C45" s="788"/>
      <c r="D45" s="788"/>
      <c r="E45" s="788"/>
      <c r="F45" s="788"/>
      <c r="G45" s="788"/>
      <c r="H45" s="788"/>
      <c r="I45" s="788"/>
      <c r="J45" s="366"/>
      <c r="K45" s="780"/>
      <c r="L45" s="299">
        <v>0.6</v>
      </c>
      <c r="M45" s="37">
        <v>47</v>
      </c>
      <c r="N45" s="37">
        <v>24</v>
      </c>
      <c r="O45" s="37">
        <v>2</v>
      </c>
      <c r="P45" s="37">
        <v>2</v>
      </c>
      <c r="Q45" s="37">
        <f t="shared" si="6"/>
        <v>75</v>
      </c>
      <c r="R45" s="781"/>
      <c r="S45" s="782"/>
    </row>
    <row r="46" spans="2:19" x14ac:dyDescent="0.2">
      <c r="K46" s="778" t="s">
        <v>748</v>
      </c>
      <c r="L46" s="294" t="s">
        <v>258</v>
      </c>
      <c r="M46" s="295">
        <v>231</v>
      </c>
      <c r="N46" s="295">
        <f>N47+N48</f>
        <v>154</v>
      </c>
      <c r="O46" s="295">
        <f>O47+O48</f>
        <v>12</v>
      </c>
      <c r="P46" s="295">
        <f>P10</f>
        <v>0</v>
      </c>
      <c r="Q46" s="108">
        <f t="shared" si="6"/>
        <v>397</v>
      </c>
      <c r="R46" s="781" t="s">
        <v>285</v>
      </c>
      <c r="S46" s="782"/>
    </row>
    <row r="47" spans="2:19" x14ac:dyDescent="0.2">
      <c r="K47" s="779"/>
      <c r="L47" s="296" t="s">
        <v>263</v>
      </c>
      <c r="M47" s="36">
        <v>92</v>
      </c>
      <c r="N47" s="36">
        <v>62</v>
      </c>
      <c r="O47" s="36">
        <v>5</v>
      </c>
      <c r="P47" s="36">
        <v>0</v>
      </c>
      <c r="Q47" s="36">
        <f t="shared" si="6"/>
        <v>159</v>
      </c>
      <c r="R47" s="789"/>
      <c r="S47" s="790"/>
    </row>
    <row r="48" spans="2:19" ht="24.75" customHeight="1" thickBot="1" x14ac:dyDescent="0.25">
      <c r="K48" s="780"/>
      <c r="L48" s="299">
        <v>0.6</v>
      </c>
      <c r="M48" s="37">
        <v>139</v>
      </c>
      <c r="N48" s="37">
        <v>92</v>
      </c>
      <c r="O48" s="37">
        <v>7</v>
      </c>
      <c r="P48" s="37">
        <v>0</v>
      </c>
      <c r="Q48" s="37">
        <f t="shared" si="6"/>
        <v>238</v>
      </c>
      <c r="R48" s="781"/>
      <c r="S48" s="782"/>
    </row>
    <row r="49" spans="11:19" ht="45.75" customHeight="1" x14ac:dyDescent="0.2">
      <c r="K49" s="778" t="s">
        <v>276</v>
      </c>
      <c r="L49" s="294" t="s">
        <v>258</v>
      </c>
      <c r="M49" s="295">
        <v>346</v>
      </c>
      <c r="N49" s="295">
        <v>195</v>
      </c>
      <c r="O49" s="295">
        <f>O50+O51</f>
        <v>5</v>
      </c>
      <c r="P49" s="295">
        <f>P37+P40+P43</f>
        <v>0</v>
      </c>
      <c r="Q49" s="108">
        <f t="shared" ref="Q49:Q54" si="8">SUM(M49:P49)</f>
        <v>546</v>
      </c>
      <c r="R49" s="781" t="s">
        <v>285</v>
      </c>
      <c r="S49" s="782"/>
    </row>
    <row r="50" spans="11:19" x14ac:dyDescent="0.2">
      <c r="K50" s="779"/>
      <c r="L50" s="296" t="s">
        <v>263</v>
      </c>
      <c r="M50" s="36">
        <v>138</v>
      </c>
      <c r="N50" s="36">
        <v>78</v>
      </c>
      <c r="O50" s="36">
        <v>2</v>
      </c>
      <c r="P50" s="36">
        <v>2</v>
      </c>
      <c r="Q50" s="36">
        <f t="shared" si="8"/>
        <v>220</v>
      </c>
      <c r="R50" s="781"/>
      <c r="S50" s="782"/>
    </row>
    <row r="51" spans="11:19" ht="27" customHeight="1" thickBot="1" x14ac:dyDescent="0.25">
      <c r="K51" s="780"/>
      <c r="L51" s="299">
        <v>0.6</v>
      </c>
      <c r="M51" s="37">
        <v>208</v>
      </c>
      <c r="N51" s="37">
        <v>117</v>
      </c>
      <c r="O51" s="37">
        <v>3</v>
      </c>
      <c r="P51" s="37">
        <f>P39+P42+P45</f>
        <v>2</v>
      </c>
      <c r="Q51" s="37">
        <f t="shared" si="8"/>
        <v>330</v>
      </c>
      <c r="R51" s="781"/>
      <c r="S51" s="782"/>
    </row>
    <row r="52" spans="11:19" x14ac:dyDescent="0.2">
      <c r="K52" s="778" t="s">
        <v>277</v>
      </c>
      <c r="L52" s="294" t="s">
        <v>258</v>
      </c>
      <c r="M52" s="295">
        <f>M37+M40+M43</f>
        <v>346</v>
      </c>
      <c r="N52" s="295">
        <f>N10</f>
        <v>169</v>
      </c>
      <c r="O52" s="295">
        <f>O10</f>
        <v>11</v>
      </c>
      <c r="P52" s="295">
        <f>P10</f>
        <v>0</v>
      </c>
      <c r="Q52" s="108">
        <f t="shared" si="8"/>
        <v>526</v>
      </c>
      <c r="R52" s="781" t="s">
        <v>285</v>
      </c>
      <c r="S52" s="782"/>
    </row>
    <row r="53" spans="11:19" x14ac:dyDescent="0.2">
      <c r="K53" s="779"/>
      <c r="L53" s="296" t="s">
        <v>263</v>
      </c>
      <c r="M53" s="38">
        <v>0</v>
      </c>
      <c r="N53" s="36">
        <v>0</v>
      </c>
      <c r="O53" s="36">
        <v>0</v>
      </c>
      <c r="P53" s="36">
        <v>0</v>
      </c>
      <c r="Q53" s="36">
        <f t="shared" si="8"/>
        <v>0</v>
      </c>
      <c r="R53" s="784"/>
      <c r="S53" s="785"/>
    </row>
    <row r="54" spans="11:19" ht="21" customHeight="1" thickBot="1" x14ac:dyDescent="0.25">
      <c r="K54" s="783"/>
      <c r="L54" s="300">
        <v>0.6</v>
      </c>
      <c r="M54" s="37">
        <v>0</v>
      </c>
      <c r="N54" s="37">
        <v>0</v>
      </c>
      <c r="O54" s="37">
        <v>0</v>
      </c>
      <c r="P54" s="37">
        <v>0</v>
      </c>
      <c r="Q54" s="37">
        <f t="shared" si="8"/>
        <v>0</v>
      </c>
      <c r="R54" s="786"/>
      <c r="S54" s="787"/>
    </row>
    <row r="55" spans="11:19" ht="15.75" customHeight="1" x14ac:dyDescent="0.2"/>
    <row r="57" spans="11:19" ht="12.75" customHeight="1" x14ac:dyDescent="0.2"/>
    <row r="60" spans="11:19" ht="12.75" customHeight="1" x14ac:dyDescent="0.2"/>
    <row r="63" spans="11:19" ht="12.75" customHeight="1" x14ac:dyDescent="0.2"/>
    <row r="66" ht="12.75" customHeight="1" x14ac:dyDescent="0.2"/>
    <row r="67" ht="15.75" customHeight="1" x14ac:dyDescent="0.2"/>
    <row r="68" ht="15.75" customHeight="1" x14ac:dyDescent="0.2"/>
    <row r="69" ht="12.75" customHeight="1" x14ac:dyDescent="0.2"/>
    <row r="70" ht="15.75" customHeight="1" x14ac:dyDescent="0.2"/>
    <row r="71" ht="15.75" customHeight="1" x14ac:dyDescent="0.2"/>
    <row r="72" ht="12.75" customHeight="1" x14ac:dyDescent="0.2"/>
    <row r="73" ht="15.75" customHeight="1" x14ac:dyDescent="0.2"/>
    <row r="74" ht="15.75" customHeight="1" x14ac:dyDescent="0.2"/>
    <row r="76" ht="15.75" customHeight="1" x14ac:dyDescent="0.2"/>
    <row r="77" ht="15.75" customHeight="1" x14ac:dyDescent="0.2"/>
    <row r="78" ht="19.5" customHeight="1" x14ac:dyDescent="0.2"/>
    <row r="79" ht="65.25" customHeight="1" x14ac:dyDescent="0.2"/>
  </sheetData>
  <mergeCells count="125">
    <mergeCell ref="B2:I3"/>
    <mergeCell ref="K2:S3"/>
    <mergeCell ref="B4:F5"/>
    <mergeCell ref="K4:O5"/>
    <mergeCell ref="P4:Q4"/>
    <mergeCell ref="P5:Q5"/>
    <mergeCell ref="N7:N8"/>
    <mergeCell ref="O7:O8"/>
    <mergeCell ref="P7:P8"/>
    <mergeCell ref="Q7:Q8"/>
    <mergeCell ref="R7:S8"/>
    <mergeCell ref="H9:I9"/>
    <mergeCell ref="R9:S9"/>
    <mergeCell ref="B6:I6"/>
    <mergeCell ref="K6:S6"/>
    <mergeCell ref="B7:C8"/>
    <mergeCell ref="D7:D8"/>
    <mergeCell ref="E7:E8"/>
    <mergeCell ref="F7:F8"/>
    <mergeCell ref="G7:G8"/>
    <mergeCell ref="H7:I8"/>
    <mergeCell ref="K7:L8"/>
    <mergeCell ref="M7:M8"/>
    <mergeCell ref="B13:B15"/>
    <mergeCell ref="H13:I13"/>
    <mergeCell ref="K13:K15"/>
    <mergeCell ref="R13:S13"/>
    <mergeCell ref="H14:I14"/>
    <mergeCell ref="R14:S14"/>
    <mergeCell ref="H15:I15"/>
    <mergeCell ref="R15:S15"/>
    <mergeCell ref="B10:B12"/>
    <mergeCell ref="H10:I10"/>
    <mergeCell ref="K10:K12"/>
    <mergeCell ref="R10:S10"/>
    <mergeCell ref="H11:I11"/>
    <mergeCell ref="R11:S11"/>
    <mergeCell ref="H12:I12"/>
    <mergeCell ref="R12:S12"/>
    <mergeCell ref="R19:S19"/>
    <mergeCell ref="H20:I20"/>
    <mergeCell ref="R20:S20"/>
    <mergeCell ref="H21:I21"/>
    <mergeCell ref="R21:S21"/>
    <mergeCell ref="B16:B18"/>
    <mergeCell ref="H16:I16"/>
    <mergeCell ref="K16:K18"/>
    <mergeCell ref="R16:S16"/>
    <mergeCell ref="H17:I17"/>
    <mergeCell ref="R17:S17"/>
    <mergeCell ref="H18:I18"/>
    <mergeCell ref="R18:S18"/>
    <mergeCell ref="B22:B24"/>
    <mergeCell ref="H22:I22"/>
    <mergeCell ref="K22:K24"/>
    <mergeCell ref="H23:I23"/>
    <mergeCell ref="H24:I24"/>
    <mergeCell ref="B25:B27"/>
    <mergeCell ref="H25:I25"/>
    <mergeCell ref="K25:K27"/>
    <mergeCell ref="B19:B21"/>
    <mergeCell ref="H19:I19"/>
    <mergeCell ref="K19:K21"/>
    <mergeCell ref="R25:S25"/>
    <mergeCell ref="H26:I26"/>
    <mergeCell ref="R26:S26"/>
    <mergeCell ref="H27:I27"/>
    <mergeCell ref="R27:S27"/>
    <mergeCell ref="B28:B30"/>
    <mergeCell ref="H28:I28"/>
    <mergeCell ref="K28:K30"/>
    <mergeCell ref="R28:S28"/>
    <mergeCell ref="H29:I29"/>
    <mergeCell ref="R29:S29"/>
    <mergeCell ref="H30:I30"/>
    <mergeCell ref="R30:S30"/>
    <mergeCell ref="B31:B33"/>
    <mergeCell ref="H31:I31"/>
    <mergeCell ref="K31:K33"/>
    <mergeCell ref="R31:S31"/>
    <mergeCell ref="H32:I32"/>
    <mergeCell ref="R32:S32"/>
    <mergeCell ref="H33:I33"/>
    <mergeCell ref="B37:B39"/>
    <mergeCell ref="H37:I37"/>
    <mergeCell ref="K37:K39"/>
    <mergeCell ref="R37:S37"/>
    <mergeCell ref="H38:I38"/>
    <mergeCell ref="R38:S38"/>
    <mergeCell ref="H39:I39"/>
    <mergeCell ref="R39:S39"/>
    <mergeCell ref="R33:S33"/>
    <mergeCell ref="B34:B36"/>
    <mergeCell ref="H34:I34"/>
    <mergeCell ref="K34:K36"/>
    <mergeCell ref="R34:S34"/>
    <mergeCell ref="H35:I35"/>
    <mergeCell ref="R35:S35"/>
    <mergeCell ref="H36:I36"/>
    <mergeCell ref="R36:S36"/>
    <mergeCell ref="B45:I45"/>
    <mergeCell ref="R45:S45"/>
    <mergeCell ref="K46:K48"/>
    <mergeCell ref="R46:S46"/>
    <mergeCell ref="R47:S47"/>
    <mergeCell ref="R48:S48"/>
    <mergeCell ref="B40:B42"/>
    <mergeCell ref="H40:I40"/>
    <mergeCell ref="K40:K42"/>
    <mergeCell ref="R40:S40"/>
    <mergeCell ref="H41:I41"/>
    <mergeCell ref="R41:S41"/>
    <mergeCell ref="H42:I42"/>
    <mergeCell ref="R42:S42"/>
    <mergeCell ref="K49:K51"/>
    <mergeCell ref="R49:S49"/>
    <mergeCell ref="R50:S50"/>
    <mergeCell ref="R51:S51"/>
    <mergeCell ref="K52:K54"/>
    <mergeCell ref="R52:S52"/>
    <mergeCell ref="R53:S53"/>
    <mergeCell ref="R54:S54"/>
    <mergeCell ref="K43:K45"/>
    <mergeCell ref="R43:S43"/>
    <mergeCell ref="R44:S44"/>
  </mergeCells>
  <conditionalFormatting sqref="H10:H35 H37:H42 D17:F18 D10:F12 D14:F15 D20:F21 D23:F24 D26:F27 D29:F30 D32:F33 D35:F36 D38:F39 D41:F42">
    <cfRule type="cellIs" dxfId="95" priority="92" operator="lessThan">
      <formula>0</formula>
    </cfRule>
  </conditionalFormatting>
  <conditionalFormatting sqref="G13">
    <cfRule type="cellIs" dxfId="94" priority="90" operator="lessThan">
      <formula>0</formula>
    </cfRule>
  </conditionalFormatting>
  <conditionalFormatting sqref="G16">
    <cfRule type="cellIs" dxfId="93" priority="89" operator="lessThan">
      <formula>0</formula>
    </cfRule>
  </conditionalFormatting>
  <conditionalFormatting sqref="G19">
    <cfRule type="cellIs" dxfId="92" priority="88" operator="lessThan">
      <formula>0</formula>
    </cfRule>
  </conditionalFormatting>
  <conditionalFormatting sqref="H36">
    <cfRule type="cellIs" dxfId="91" priority="87" operator="lessThan">
      <formula>0</formula>
    </cfRule>
  </conditionalFormatting>
  <conditionalFormatting sqref="G17:G18 G23:G24 G29:G30 G32:G33 G35:G36 G41:G42 G14:G15 G26:G27 G38:G39 G10:G12 G20:G21">
    <cfRule type="cellIs" dxfId="90" priority="91" operator="lessThan">
      <formula>0</formula>
    </cfRule>
  </conditionalFormatting>
  <conditionalFormatting sqref="D16:F16">
    <cfRule type="cellIs" dxfId="89" priority="86" operator="lessThan">
      <formula>0</formula>
    </cfRule>
  </conditionalFormatting>
  <conditionalFormatting sqref="D19:F19">
    <cfRule type="cellIs" dxfId="88" priority="85" operator="lessThan">
      <formula>0</formula>
    </cfRule>
  </conditionalFormatting>
  <conditionalFormatting sqref="D22:F22">
    <cfRule type="cellIs" dxfId="87" priority="84" operator="lessThan">
      <formula>0</formula>
    </cfRule>
  </conditionalFormatting>
  <conditionalFormatting sqref="D25:F25">
    <cfRule type="cellIs" dxfId="86" priority="83" operator="lessThan">
      <formula>0</formula>
    </cfRule>
  </conditionalFormatting>
  <conditionalFormatting sqref="D28:F28">
    <cfRule type="cellIs" dxfId="85" priority="82" operator="lessThan">
      <formula>0</formula>
    </cfRule>
  </conditionalFormatting>
  <conditionalFormatting sqref="D31:F31">
    <cfRule type="cellIs" dxfId="84" priority="81" operator="lessThan">
      <formula>0</formula>
    </cfRule>
  </conditionalFormatting>
  <conditionalFormatting sqref="D34:F34">
    <cfRule type="cellIs" dxfId="83" priority="80" operator="lessThan">
      <formula>0</formula>
    </cfRule>
  </conditionalFormatting>
  <conditionalFormatting sqref="D37:F37">
    <cfRule type="cellIs" dxfId="82" priority="79" operator="lessThan">
      <formula>0</formula>
    </cfRule>
  </conditionalFormatting>
  <conditionalFormatting sqref="D40:F40">
    <cfRule type="cellIs" dxfId="81" priority="78" operator="lessThan">
      <formula>0</formula>
    </cfRule>
  </conditionalFormatting>
  <conditionalFormatting sqref="D13:F13">
    <cfRule type="cellIs" dxfId="80" priority="77" operator="lessThan">
      <formula>0</formula>
    </cfRule>
  </conditionalFormatting>
  <conditionalFormatting sqref="G22">
    <cfRule type="cellIs" dxfId="79" priority="76" operator="lessThan">
      <formula>0</formula>
    </cfRule>
  </conditionalFormatting>
  <conditionalFormatting sqref="G25">
    <cfRule type="cellIs" dxfId="78" priority="75" operator="lessThan">
      <formula>0</formula>
    </cfRule>
  </conditionalFormatting>
  <conditionalFormatting sqref="G28">
    <cfRule type="cellIs" dxfId="77" priority="74" operator="lessThan">
      <formula>0</formula>
    </cfRule>
  </conditionalFormatting>
  <conditionalFormatting sqref="G31">
    <cfRule type="cellIs" dxfId="76" priority="73" operator="lessThan">
      <formula>0</formula>
    </cfRule>
  </conditionalFormatting>
  <conditionalFormatting sqref="G34">
    <cfRule type="cellIs" dxfId="75" priority="72" operator="lessThan">
      <formula>0</formula>
    </cfRule>
  </conditionalFormatting>
  <conditionalFormatting sqref="G37">
    <cfRule type="cellIs" dxfId="74" priority="71" operator="lessThan">
      <formula>0</formula>
    </cfRule>
  </conditionalFormatting>
  <conditionalFormatting sqref="G40">
    <cfRule type="cellIs" dxfId="73" priority="70" operator="lessThan">
      <formula>0</formula>
    </cfRule>
  </conditionalFormatting>
  <conditionalFormatting sqref="R10:R33 R53:R54">
    <cfRule type="cellIs" dxfId="72" priority="69" operator="lessThan">
      <formula>0</formula>
    </cfRule>
  </conditionalFormatting>
  <conditionalFormatting sqref="P10:Q10 M10:N12 O11:Q12">
    <cfRule type="cellIs" dxfId="71" priority="68" operator="lessThan">
      <formula>0</formula>
    </cfRule>
  </conditionalFormatting>
  <conditionalFormatting sqref="O10">
    <cfRule type="cellIs" dxfId="70" priority="67" operator="lessThan">
      <formula>0</formula>
    </cfRule>
  </conditionalFormatting>
  <conditionalFormatting sqref="M14:N15 P14:Q15 Q13">
    <cfRule type="cellIs" dxfId="69" priority="66" operator="lessThan">
      <formula>0</formula>
    </cfRule>
  </conditionalFormatting>
  <conditionalFormatting sqref="O14:O15">
    <cfRule type="cellIs" dxfId="68" priority="65" operator="lessThan">
      <formula>0</formula>
    </cfRule>
  </conditionalFormatting>
  <conditionalFormatting sqref="M13:N13 P13">
    <cfRule type="cellIs" dxfId="67" priority="64" operator="lessThan">
      <formula>0</formula>
    </cfRule>
  </conditionalFormatting>
  <conditionalFormatting sqref="O13">
    <cfRule type="cellIs" dxfId="66" priority="63" operator="lessThan">
      <formula>0</formula>
    </cfRule>
  </conditionalFormatting>
  <conditionalFormatting sqref="M17:N18 P17:Q18">
    <cfRule type="cellIs" dxfId="65" priority="62" operator="lessThan">
      <formula>0</formula>
    </cfRule>
  </conditionalFormatting>
  <conditionalFormatting sqref="O17:O18">
    <cfRule type="cellIs" dxfId="64" priority="61" operator="lessThan">
      <formula>0</formula>
    </cfRule>
  </conditionalFormatting>
  <conditionalFormatting sqref="Q16">
    <cfRule type="cellIs" dxfId="63" priority="60" operator="lessThan">
      <formula>0</formula>
    </cfRule>
  </conditionalFormatting>
  <conditionalFormatting sqref="M16:N16 P16">
    <cfRule type="cellIs" dxfId="62" priority="59" operator="lessThan">
      <formula>0</formula>
    </cfRule>
  </conditionalFormatting>
  <conditionalFormatting sqref="O16">
    <cfRule type="cellIs" dxfId="61" priority="58" operator="lessThan">
      <formula>0</formula>
    </cfRule>
  </conditionalFormatting>
  <conditionalFormatting sqref="M20:Q21">
    <cfRule type="cellIs" dxfId="60" priority="57" operator="lessThan">
      <formula>0</formula>
    </cfRule>
  </conditionalFormatting>
  <conditionalFormatting sqref="M19:N19 P19:Q19">
    <cfRule type="cellIs" dxfId="59" priority="56" operator="lessThan">
      <formula>0</formula>
    </cfRule>
  </conditionalFormatting>
  <conditionalFormatting sqref="O19">
    <cfRule type="cellIs" dxfId="58" priority="55" operator="lessThan">
      <formula>0</formula>
    </cfRule>
  </conditionalFormatting>
  <conditionalFormatting sqref="P23:Q24 M23:N24">
    <cfRule type="cellIs" dxfId="57" priority="54" operator="lessThan">
      <formula>0</formula>
    </cfRule>
  </conditionalFormatting>
  <conditionalFormatting sqref="O23:O24">
    <cfRule type="cellIs" dxfId="56" priority="53" operator="lessThan">
      <formula>0</formula>
    </cfRule>
  </conditionalFormatting>
  <conditionalFormatting sqref="M22:N22 P22:Q22">
    <cfRule type="cellIs" dxfId="55" priority="52" operator="lessThan">
      <formula>0</formula>
    </cfRule>
  </conditionalFormatting>
  <conditionalFormatting sqref="O22">
    <cfRule type="cellIs" dxfId="54" priority="51" operator="lessThan">
      <formula>0</formula>
    </cfRule>
  </conditionalFormatting>
  <conditionalFormatting sqref="M26:N27 P26:Q27">
    <cfRule type="cellIs" dxfId="53" priority="50" operator="lessThan">
      <formula>0</formula>
    </cfRule>
  </conditionalFormatting>
  <conditionalFormatting sqref="O26:O27">
    <cfRule type="cellIs" dxfId="52" priority="49" operator="lessThan">
      <formula>0</formula>
    </cfRule>
  </conditionalFormatting>
  <conditionalFormatting sqref="Q25">
    <cfRule type="cellIs" dxfId="51" priority="48" operator="lessThan">
      <formula>0</formula>
    </cfRule>
  </conditionalFormatting>
  <conditionalFormatting sqref="M25:N25 P25">
    <cfRule type="cellIs" dxfId="50" priority="47" operator="lessThan">
      <formula>0</formula>
    </cfRule>
  </conditionalFormatting>
  <conditionalFormatting sqref="O25">
    <cfRule type="cellIs" dxfId="49" priority="46" operator="lessThan">
      <formula>0</formula>
    </cfRule>
  </conditionalFormatting>
  <conditionalFormatting sqref="M29:Q30">
    <cfRule type="cellIs" dxfId="48" priority="45" operator="lessThan">
      <formula>0</formula>
    </cfRule>
  </conditionalFormatting>
  <conditionalFormatting sqref="Q28">
    <cfRule type="cellIs" dxfId="47" priority="44" operator="lessThan">
      <formula>0</formula>
    </cfRule>
  </conditionalFormatting>
  <conditionalFormatting sqref="M28:N28 P28">
    <cfRule type="cellIs" dxfId="46" priority="43" operator="lessThan">
      <formula>0</formula>
    </cfRule>
  </conditionalFormatting>
  <conditionalFormatting sqref="O28">
    <cfRule type="cellIs" dxfId="45" priority="42" operator="lessThan">
      <formula>0</formula>
    </cfRule>
  </conditionalFormatting>
  <conditionalFormatting sqref="M32:Q33">
    <cfRule type="cellIs" dxfId="44" priority="41" operator="lessThan">
      <formula>0</formula>
    </cfRule>
  </conditionalFormatting>
  <conditionalFormatting sqref="Q31">
    <cfRule type="cellIs" dxfId="43" priority="40" operator="lessThan">
      <formula>0</formula>
    </cfRule>
  </conditionalFormatting>
  <conditionalFormatting sqref="M31:N31 P31">
    <cfRule type="cellIs" dxfId="42" priority="39" operator="lessThan">
      <formula>0</formula>
    </cfRule>
  </conditionalFormatting>
  <conditionalFormatting sqref="O31">
    <cfRule type="cellIs" dxfId="41" priority="38" operator="lessThan">
      <formula>0</formula>
    </cfRule>
  </conditionalFormatting>
  <conditionalFormatting sqref="M34:N36 P34:Q36">
    <cfRule type="cellIs" dxfId="40" priority="37" operator="lessThan">
      <formula>0</formula>
    </cfRule>
  </conditionalFormatting>
  <conditionalFormatting sqref="O34:O36">
    <cfRule type="cellIs" dxfId="39" priority="36" operator="lessThan">
      <formula>0</formula>
    </cfRule>
  </conditionalFormatting>
  <conditionalFormatting sqref="P38:Q39 M38:N39">
    <cfRule type="cellIs" dxfId="38" priority="35" operator="lessThan">
      <formula>0</formula>
    </cfRule>
  </conditionalFormatting>
  <conditionalFormatting sqref="O38:O39">
    <cfRule type="cellIs" dxfId="37" priority="34" operator="lessThan">
      <formula>0</formula>
    </cfRule>
  </conditionalFormatting>
  <conditionalFormatting sqref="M37:N37 P37:Q37">
    <cfRule type="cellIs" dxfId="36" priority="33" operator="lessThan">
      <formula>0</formula>
    </cfRule>
  </conditionalFormatting>
  <conditionalFormatting sqref="O37">
    <cfRule type="cellIs" dxfId="35" priority="32" operator="lessThan">
      <formula>0</formula>
    </cfRule>
  </conditionalFormatting>
  <conditionalFormatting sqref="P41:Q42 M41:N42">
    <cfRule type="cellIs" dxfId="34" priority="31" operator="lessThan">
      <formula>0</formula>
    </cfRule>
  </conditionalFormatting>
  <conditionalFormatting sqref="O41:O42">
    <cfRule type="cellIs" dxfId="33" priority="30" operator="lessThan">
      <formula>0</formula>
    </cfRule>
  </conditionalFormatting>
  <conditionalFormatting sqref="M40:N40 P40:Q40">
    <cfRule type="cellIs" dxfId="32" priority="29" operator="lessThan">
      <formula>0</formula>
    </cfRule>
  </conditionalFormatting>
  <conditionalFormatting sqref="O40">
    <cfRule type="cellIs" dxfId="31" priority="28" operator="lessThan">
      <formula>0</formula>
    </cfRule>
  </conditionalFormatting>
  <conditionalFormatting sqref="P44:Q45 M44:N45">
    <cfRule type="cellIs" dxfId="30" priority="27" operator="lessThan">
      <formula>0</formula>
    </cfRule>
  </conditionalFormatting>
  <conditionalFormatting sqref="O44:O45">
    <cfRule type="cellIs" dxfId="29" priority="26" operator="lessThan">
      <formula>0</formula>
    </cfRule>
  </conditionalFormatting>
  <conditionalFormatting sqref="M43:N43 P43:Q43">
    <cfRule type="cellIs" dxfId="28" priority="25" operator="lessThan">
      <formula>0</formula>
    </cfRule>
  </conditionalFormatting>
  <conditionalFormatting sqref="O43">
    <cfRule type="cellIs" dxfId="27" priority="24" operator="lessThan">
      <formula>0</formula>
    </cfRule>
  </conditionalFormatting>
  <conditionalFormatting sqref="P47:Q48 M47:N48">
    <cfRule type="cellIs" dxfId="26" priority="23" operator="lessThan">
      <formula>0</formula>
    </cfRule>
  </conditionalFormatting>
  <conditionalFormatting sqref="O47:O48">
    <cfRule type="cellIs" dxfId="25" priority="22" operator="lessThan">
      <formula>0</formula>
    </cfRule>
  </conditionalFormatting>
  <conditionalFormatting sqref="P46:Q46 M46">
    <cfRule type="cellIs" dxfId="24" priority="21" operator="lessThan">
      <formula>0</formula>
    </cfRule>
  </conditionalFormatting>
  <conditionalFormatting sqref="O46">
    <cfRule type="cellIs" dxfId="23" priority="20" operator="lessThan">
      <formula>0</formula>
    </cfRule>
  </conditionalFormatting>
  <conditionalFormatting sqref="N46">
    <cfRule type="cellIs" dxfId="22" priority="19" operator="lessThan">
      <formula>0</formula>
    </cfRule>
  </conditionalFormatting>
  <conditionalFormatting sqref="P50:Q51 M50:N51">
    <cfRule type="cellIs" dxfId="21" priority="18" operator="lessThan">
      <formula>0</formula>
    </cfRule>
  </conditionalFormatting>
  <conditionalFormatting sqref="O50:O51">
    <cfRule type="cellIs" dxfId="20" priority="17" operator="lessThan">
      <formula>0</formula>
    </cfRule>
  </conditionalFormatting>
  <conditionalFormatting sqref="M49:N49 P49:Q49">
    <cfRule type="cellIs" dxfId="19" priority="16" operator="lessThan">
      <formula>0</formula>
    </cfRule>
  </conditionalFormatting>
  <conditionalFormatting sqref="O49">
    <cfRule type="cellIs" dxfId="18" priority="15" operator="lessThan">
      <formula>0</formula>
    </cfRule>
  </conditionalFormatting>
  <conditionalFormatting sqref="P53:Q54 M53:N54">
    <cfRule type="cellIs" dxfId="17" priority="14" operator="lessThan">
      <formula>0</formula>
    </cfRule>
  </conditionalFormatting>
  <conditionalFormatting sqref="O53:O54">
    <cfRule type="cellIs" dxfId="16" priority="13" operator="lessThan">
      <formula>0</formula>
    </cfRule>
  </conditionalFormatting>
  <conditionalFormatting sqref="N52 P52:Q52">
    <cfRule type="cellIs" dxfId="15" priority="12" operator="lessThan">
      <formula>0</formula>
    </cfRule>
  </conditionalFormatting>
  <conditionalFormatting sqref="O52">
    <cfRule type="cellIs" dxfId="14" priority="11" operator="lessThan">
      <formula>0</formula>
    </cfRule>
  </conditionalFormatting>
  <conditionalFormatting sqref="M52">
    <cfRule type="cellIs" dxfId="13" priority="10" operator="lessThan">
      <formula>0</formula>
    </cfRule>
  </conditionalFormatting>
  <conditionalFormatting sqref="R38:R39 R35:R36">
    <cfRule type="cellIs" dxfId="12" priority="9" operator="lessThan">
      <formula>0</formula>
    </cfRule>
  </conditionalFormatting>
  <conditionalFormatting sqref="R41:R42 R44:R45 R47:R48 R50:R51">
    <cfRule type="cellIs" dxfId="11" priority="8" operator="lessThan">
      <formula>0</formula>
    </cfRule>
  </conditionalFormatting>
  <conditionalFormatting sqref="R49">
    <cfRule type="cellIs" dxfId="10" priority="7" operator="lessThan">
      <formula>0</formula>
    </cfRule>
  </conditionalFormatting>
  <conditionalFormatting sqref="R52">
    <cfRule type="cellIs" dxfId="9" priority="6" operator="lessThan">
      <formula>0</formula>
    </cfRule>
  </conditionalFormatting>
  <conditionalFormatting sqref="R46">
    <cfRule type="cellIs" dxfId="8" priority="5" operator="lessThan">
      <formula>0</formula>
    </cfRule>
  </conditionalFormatting>
  <conditionalFormatting sqref="R43">
    <cfRule type="cellIs" dxfId="7" priority="4" operator="lessThan">
      <formula>0</formula>
    </cfRule>
  </conditionalFormatting>
  <conditionalFormatting sqref="R40">
    <cfRule type="cellIs" dxfId="6" priority="3" operator="lessThan">
      <formula>0</formula>
    </cfRule>
  </conditionalFormatting>
  <conditionalFormatting sqref="R37">
    <cfRule type="cellIs" dxfId="5" priority="2" operator="lessThan">
      <formula>0</formula>
    </cfRule>
  </conditionalFormatting>
  <conditionalFormatting sqref="R34">
    <cfRule type="cellIs" dxfId="4" priority="1" operator="lessThan">
      <formula>0</formula>
    </cfRule>
  </conditionalFormatting>
  <dataValidations count="2">
    <dataValidation type="list" allowBlank="1" showInputMessage="1" showErrorMessage="1" sqref="K52:K54 K37:K49 K25:K34" xr:uid="{00000000-0002-0000-0100-000000000000}">
      <formula1>$B$3:$B$59</formula1>
    </dataValidation>
    <dataValidation type="list" allowBlank="1" showInputMessage="1" showErrorMessage="1" sqref="K22:K24" xr:uid="{00000000-0002-0000-0100-000001000000}">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50EDC0-1186-4790-B2BB-FA9824472F30}">
  <dimension ref="A1:R342"/>
  <sheetViews>
    <sheetView showGridLines="0" zoomScale="80" zoomScaleNormal="80" zoomScalePageLayoutView="95" workbookViewId="0">
      <pane xSplit="3" ySplit="4" topLeftCell="K212" activePane="bottomRight" state="frozen"/>
      <selection pane="topRight" activeCell="D1" sqref="D1"/>
      <selection pane="bottomLeft" activeCell="A5" sqref="A5"/>
      <selection pane="bottomRight" activeCell="L227" sqref="L227"/>
    </sheetView>
  </sheetViews>
  <sheetFormatPr baseColWidth="10" defaultColWidth="10.85546875" defaultRowHeight="12.75" x14ac:dyDescent="0.2"/>
  <cols>
    <col min="1" max="1" width="4.85546875" style="1" bestFit="1" customWidth="1"/>
    <col min="2" max="2" width="29.85546875" style="372" customWidth="1"/>
    <col min="3" max="3" width="31.5703125" style="372" customWidth="1"/>
    <col min="4" max="4" width="41.85546875" style="1" bestFit="1" customWidth="1"/>
    <col min="5" max="5" width="30.140625" style="1" customWidth="1"/>
    <col min="6" max="6" width="46" style="1" customWidth="1"/>
    <col min="7" max="7" width="24.7109375" style="169" customWidth="1"/>
    <col min="8" max="8" width="24.85546875" style="168" customWidth="1"/>
    <col min="9" max="9" width="17.28515625" style="1" bestFit="1" customWidth="1"/>
    <col min="10" max="10" width="18.7109375" style="1" bestFit="1" customWidth="1"/>
    <col min="11" max="11" width="26.5703125" style="1" bestFit="1" customWidth="1"/>
    <col min="12" max="12" width="88.7109375" style="1" customWidth="1"/>
    <col min="13" max="13" width="23.42578125" style="1" bestFit="1" customWidth="1"/>
    <col min="14" max="14" width="18.7109375" style="1" bestFit="1" customWidth="1"/>
    <col min="15" max="16" width="39.42578125" style="167" customWidth="1"/>
    <col min="17" max="17" width="46.28515625" style="167" customWidth="1"/>
    <col min="18" max="18" width="39.42578125" style="167" customWidth="1"/>
    <col min="19" max="16384" width="10.85546875" style="1"/>
  </cols>
  <sheetData>
    <row r="1" spans="1:18" ht="14.25" x14ac:dyDescent="0.2">
      <c r="A1" s="175" t="s">
        <v>529</v>
      </c>
      <c r="B1" s="351">
        <v>44227</v>
      </c>
      <c r="C1" s="370"/>
      <c r="D1" s="270"/>
      <c r="E1" s="270"/>
      <c r="F1" s="270"/>
      <c r="G1" s="272"/>
      <c r="H1" s="271"/>
      <c r="I1" s="270"/>
      <c r="J1" s="270"/>
      <c r="K1" s="270"/>
      <c r="L1" s="270"/>
    </row>
    <row r="2" spans="1:18" ht="15" x14ac:dyDescent="0.2">
      <c r="A2" s="175" t="s">
        <v>529</v>
      </c>
      <c r="B2" s="858" t="s">
        <v>127</v>
      </c>
      <c r="C2" s="859"/>
      <c r="D2" s="859"/>
      <c r="E2" s="859"/>
      <c r="F2" s="859"/>
      <c r="G2" s="859"/>
      <c r="H2" s="859"/>
      <c r="I2" s="859"/>
      <c r="J2" s="859"/>
      <c r="K2" s="859"/>
      <c r="L2" s="860"/>
      <c r="M2" s="54"/>
    </row>
    <row r="3" spans="1:18" ht="15" x14ac:dyDescent="0.2">
      <c r="A3" s="1" t="s">
        <v>472</v>
      </c>
      <c r="B3" s="269" t="s">
        <v>128</v>
      </c>
      <c r="C3" s="269"/>
      <c r="D3" s="266"/>
      <c r="E3" s="266"/>
      <c r="F3" s="266"/>
      <c r="G3" s="268"/>
      <c r="H3" s="267"/>
      <c r="I3" s="266"/>
      <c r="J3" s="266"/>
      <c r="K3" s="266"/>
      <c r="L3" s="266"/>
      <c r="M3" s="54"/>
    </row>
    <row r="4" spans="1:18" s="372" customFormat="1" ht="15" x14ac:dyDescent="0.2">
      <c r="A4" s="231" t="s">
        <v>529</v>
      </c>
      <c r="B4" s="138" t="s">
        <v>129</v>
      </c>
      <c r="C4" s="139" t="s">
        <v>130</v>
      </c>
      <c r="D4" s="139" t="s">
        <v>131</v>
      </c>
      <c r="E4" s="851" t="s">
        <v>132</v>
      </c>
      <c r="F4" s="852"/>
      <c r="G4" s="851" t="s">
        <v>133</v>
      </c>
      <c r="H4" s="853"/>
      <c r="I4" s="853"/>
      <c r="J4" s="853"/>
      <c r="K4" s="852"/>
      <c r="L4" s="140" t="s">
        <v>96</v>
      </c>
      <c r="M4" s="140" t="s">
        <v>777</v>
      </c>
      <c r="O4" s="230"/>
      <c r="P4" s="230"/>
      <c r="Q4" s="230"/>
      <c r="R4" s="230"/>
    </row>
    <row r="5" spans="1:18" s="177" customFormat="1" ht="45" x14ac:dyDescent="0.25">
      <c r="A5" s="181" t="s">
        <v>529</v>
      </c>
      <c r="B5" s="138"/>
      <c r="C5" s="139"/>
      <c r="D5" s="139"/>
      <c r="E5" s="141" t="s">
        <v>134</v>
      </c>
      <c r="F5" s="141" t="s">
        <v>135</v>
      </c>
      <c r="G5" s="141" t="s">
        <v>607</v>
      </c>
      <c r="H5" s="141" t="s">
        <v>136</v>
      </c>
      <c r="I5" s="141" t="s">
        <v>137</v>
      </c>
      <c r="J5" s="141" t="s">
        <v>138</v>
      </c>
      <c r="K5" s="141" t="s">
        <v>139</v>
      </c>
      <c r="L5" s="140"/>
      <c r="M5" s="179"/>
      <c r="O5" s="178"/>
      <c r="P5" s="178"/>
      <c r="Q5" s="178"/>
      <c r="R5" s="178"/>
    </row>
    <row r="6" spans="1:18" ht="28.5" x14ac:dyDescent="0.25">
      <c r="A6" s="175" t="s">
        <v>529</v>
      </c>
      <c r="B6" s="375" t="s">
        <v>140</v>
      </c>
      <c r="C6" s="55" t="s">
        <v>141</v>
      </c>
      <c r="D6" s="55" t="s">
        <v>142</v>
      </c>
      <c r="E6" s="50"/>
      <c r="F6" s="202" t="s">
        <v>143</v>
      </c>
      <c r="G6" s="173"/>
      <c r="H6" s="142">
        <v>5268448465</v>
      </c>
      <c r="I6" s="28"/>
      <c r="J6" s="32"/>
      <c r="K6" s="261">
        <v>0</v>
      </c>
      <c r="L6" s="140"/>
      <c r="M6" s="54"/>
    </row>
    <row r="7" spans="1:18" ht="15" x14ac:dyDescent="0.25">
      <c r="A7" s="175" t="s">
        <v>529</v>
      </c>
      <c r="B7" s="375" t="s">
        <v>144</v>
      </c>
      <c r="C7" s="55" t="s">
        <v>141</v>
      </c>
      <c r="D7" s="55" t="s">
        <v>142</v>
      </c>
      <c r="E7" s="50"/>
      <c r="F7" s="151" t="s">
        <v>608</v>
      </c>
      <c r="G7" s="195"/>
      <c r="H7" s="251">
        <v>20324681095</v>
      </c>
      <c r="I7" s="28"/>
      <c r="J7" s="32"/>
      <c r="K7" s="261">
        <v>0</v>
      </c>
      <c r="L7" s="140"/>
      <c r="M7" s="54"/>
    </row>
    <row r="8" spans="1:18" ht="15" x14ac:dyDescent="0.25">
      <c r="A8" s="175" t="s">
        <v>529</v>
      </c>
      <c r="B8" s="375" t="s">
        <v>145</v>
      </c>
      <c r="C8" s="55" t="s">
        <v>141</v>
      </c>
      <c r="D8" s="55" t="s">
        <v>142</v>
      </c>
      <c r="E8" s="50"/>
      <c r="F8" s="151" t="s">
        <v>609</v>
      </c>
      <c r="G8" s="195"/>
      <c r="H8" s="251">
        <v>26799206349</v>
      </c>
      <c r="I8" s="28"/>
      <c r="J8" s="32"/>
      <c r="K8" s="261">
        <v>0</v>
      </c>
      <c r="L8" s="140"/>
      <c r="M8" s="54"/>
    </row>
    <row r="9" spans="1:18" ht="75" x14ac:dyDescent="0.25">
      <c r="A9" s="175" t="s">
        <v>529</v>
      </c>
      <c r="B9" s="375" t="s">
        <v>146</v>
      </c>
      <c r="C9" s="55" t="s">
        <v>141</v>
      </c>
      <c r="D9" s="55" t="s">
        <v>142</v>
      </c>
      <c r="E9" s="50"/>
      <c r="F9" s="151" t="s">
        <v>610</v>
      </c>
      <c r="G9" s="195"/>
      <c r="H9" s="262">
        <v>62112039495.099998</v>
      </c>
      <c r="I9" s="164"/>
      <c r="J9" s="263"/>
      <c r="K9" s="261">
        <v>0</v>
      </c>
      <c r="L9" s="265" t="s">
        <v>333</v>
      </c>
      <c r="M9" s="54"/>
    </row>
    <row r="10" spans="1:18" ht="15" x14ac:dyDescent="0.25">
      <c r="A10" s="175" t="s">
        <v>529</v>
      </c>
      <c r="B10" s="375" t="s">
        <v>147</v>
      </c>
      <c r="C10" s="55" t="s">
        <v>141</v>
      </c>
      <c r="D10" s="55" t="s">
        <v>142</v>
      </c>
      <c r="E10" s="50"/>
      <c r="F10" s="151" t="s">
        <v>611</v>
      </c>
      <c r="G10" s="195"/>
      <c r="H10" s="262">
        <v>48547865289.099998</v>
      </c>
      <c r="I10" s="164"/>
      <c r="J10" s="263"/>
      <c r="K10" s="261">
        <v>0</v>
      </c>
      <c r="L10" s="264"/>
      <c r="M10" s="54"/>
    </row>
    <row r="11" spans="1:18" ht="15" x14ac:dyDescent="0.25">
      <c r="A11" s="175" t="s">
        <v>529</v>
      </c>
      <c r="B11" s="375" t="s">
        <v>148</v>
      </c>
      <c r="C11" s="55" t="s">
        <v>141</v>
      </c>
      <c r="D11" s="55" t="s">
        <v>142</v>
      </c>
      <c r="E11" s="50"/>
      <c r="F11" s="151" t="s">
        <v>612</v>
      </c>
      <c r="G11" s="195"/>
      <c r="H11" s="262">
        <v>49940241269.099998</v>
      </c>
      <c r="I11" s="164"/>
      <c r="J11" s="263"/>
      <c r="K11" s="261">
        <v>0</v>
      </c>
      <c r="L11" s="140"/>
      <c r="M11" s="54"/>
    </row>
    <row r="12" spans="1:18" ht="15" x14ac:dyDescent="0.25">
      <c r="A12" s="175" t="s">
        <v>529</v>
      </c>
      <c r="B12" s="375" t="s">
        <v>149</v>
      </c>
      <c r="C12" s="55" t="s">
        <v>141</v>
      </c>
      <c r="D12" s="55" t="s">
        <v>142</v>
      </c>
      <c r="E12" s="50"/>
      <c r="F12" s="151" t="s">
        <v>613</v>
      </c>
      <c r="G12" s="195"/>
      <c r="H12" s="262">
        <v>42430490883.199997</v>
      </c>
      <c r="I12" s="164"/>
      <c r="J12" s="263"/>
      <c r="K12" s="261">
        <v>0</v>
      </c>
      <c r="L12" s="140"/>
      <c r="M12" s="54"/>
    </row>
    <row r="13" spans="1:18" ht="15" x14ac:dyDescent="0.25">
      <c r="A13" s="175" t="s">
        <v>529</v>
      </c>
      <c r="B13" s="375" t="s">
        <v>150</v>
      </c>
      <c r="C13" s="55" t="s">
        <v>141</v>
      </c>
      <c r="D13" s="55" t="s">
        <v>142</v>
      </c>
      <c r="E13" s="50"/>
      <c r="F13" s="151" t="s">
        <v>614</v>
      </c>
      <c r="G13" s="195"/>
      <c r="H13" s="262">
        <v>24948005269.599998</v>
      </c>
      <c r="I13" s="164"/>
      <c r="J13" s="164"/>
      <c r="K13" s="261">
        <v>0</v>
      </c>
      <c r="L13" s="140"/>
      <c r="M13" s="54"/>
    </row>
    <row r="14" spans="1:18" ht="15" x14ac:dyDescent="0.25">
      <c r="A14" s="175" t="s">
        <v>529</v>
      </c>
      <c r="B14" s="163"/>
      <c r="C14" s="29"/>
      <c r="D14" s="29"/>
      <c r="E14" s="260"/>
      <c r="F14" s="259"/>
      <c r="G14" s="258"/>
      <c r="H14" s="257">
        <f>SUM(H6:H13)</f>
        <v>280370978115.09998</v>
      </c>
      <c r="I14" s="30"/>
      <c r="J14" s="256"/>
      <c r="K14" s="255">
        <v>0</v>
      </c>
      <c r="L14" s="254"/>
      <c r="M14" s="54"/>
    </row>
    <row r="15" spans="1:18" ht="14.25" x14ac:dyDescent="0.2">
      <c r="A15" s="175" t="s">
        <v>529</v>
      </c>
      <c r="B15" s="375"/>
      <c r="C15" s="55" t="s">
        <v>141</v>
      </c>
      <c r="D15" s="55" t="s">
        <v>142</v>
      </c>
      <c r="E15" s="50">
        <v>3111530718</v>
      </c>
      <c r="F15" s="202"/>
      <c r="G15" s="195">
        <v>42278</v>
      </c>
      <c r="H15" s="142"/>
      <c r="I15" s="39">
        <f>123.78/111.82</f>
        <v>1.1069576104453587</v>
      </c>
      <c r="J15" s="31" t="s">
        <v>151</v>
      </c>
      <c r="K15" s="50">
        <f>+E15/I15</f>
        <v>2810885158.2384872</v>
      </c>
      <c r="L15" s="170"/>
      <c r="M15" s="54"/>
    </row>
    <row r="16" spans="1:18" ht="14.25" x14ac:dyDescent="0.2">
      <c r="A16" s="175" t="s">
        <v>529</v>
      </c>
      <c r="B16" s="375"/>
      <c r="C16" s="55" t="s">
        <v>141</v>
      </c>
      <c r="D16" s="55" t="s">
        <v>142</v>
      </c>
      <c r="E16" s="209">
        <v>5503863348.5</v>
      </c>
      <c r="F16" s="253"/>
      <c r="G16" s="195">
        <v>42279</v>
      </c>
      <c r="H16" s="251"/>
      <c r="I16" s="39">
        <f>123.78/111.82</f>
        <v>1.1069576104453587</v>
      </c>
      <c r="J16" s="31" t="s">
        <v>151</v>
      </c>
      <c r="K16" s="50">
        <f>+E16/I16</f>
        <v>4972063335.1855707</v>
      </c>
      <c r="L16" s="170"/>
      <c r="M16" s="54"/>
    </row>
    <row r="17" spans="1:13" ht="14.25" x14ac:dyDescent="0.2">
      <c r="A17" s="175" t="s">
        <v>529</v>
      </c>
      <c r="B17" s="375"/>
      <c r="C17" s="55" t="s">
        <v>141</v>
      </c>
      <c r="D17" s="55" t="s">
        <v>142</v>
      </c>
      <c r="E17" s="209">
        <v>263457714</v>
      </c>
      <c r="F17" s="253"/>
      <c r="G17" s="195">
        <v>42292</v>
      </c>
      <c r="H17" s="251"/>
      <c r="I17" s="39">
        <f>123.78/111.82</f>
        <v>1.1069576104453587</v>
      </c>
      <c r="J17" s="31" t="s">
        <v>151</v>
      </c>
      <c r="K17" s="50">
        <f>+E17/I17</f>
        <v>238001628.53029567</v>
      </c>
      <c r="L17" s="170"/>
      <c r="M17" s="54"/>
    </row>
    <row r="18" spans="1:13" ht="14.25" x14ac:dyDescent="0.2">
      <c r="A18" s="175" t="s">
        <v>529</v>
      </c>
      <c r="B18" s="375"/>
      <c r="C18" s="55" t="s">
        <v>141</v>
      </c>
      <c r="D18" s="55" t="s">
        <v>142</v>
      </c>
      <c r="E18" s="209">
        <v>1636965150</v>
      </c>
      <c r="F18" s="248"/>
      <c r="G18" s="195">
        <v>42305</v>
      </c>
      <c r="H18" s="251"/>
      <c r="I18" s="39">
        <f>123.78/111.82</f>
        <v>1.1069576104453587</v>
      </c>
      <c r="J18" s="31" t="s">
        <v>151</v>
      </c>
      <c r="K18" s="50">
        <f>+E18/I18</f>
        <v>1478796599.3940861</v>
      </c>
      <c r="L18" s="170"/>
      <c r="M18" s="54"/>
    </row>
    <row r="19" spans="1:13" ht="14.25" x14ac:dyDescent="0.2">
      <c r="A19" s="175" t="s">
        <v>529</v>
      </c>
      <c r="B19" s="375"/>
      <c r="C19" s="55" t="s">
        <v>141</v>
      </c>
      <c r="D19" s="55" t="s">
        <v>142</v>
      </c>
      <c r="E19" s="209">
        <v>2728275250</v>
      </c>
      <c r="F19" s="253"/>
      <c r="G19" s="195">
        <v>42311</v>
      </c>
      <c r="H19" s="251"/>
      <c r="I19" s="74">
        <f>124.62/111.82</f>
        <v>1.1144696834197818</v>
      </c>
      <c r="J19" s="32" t="s">
        <v>152</v>
      </c>
      <c r="K19" s="50">
        <f>+E19/I19</f>
        <v>2448047973.4793773</v>
      </c>
      <c r="L19" s="170"/>
      <c r="M19" s="54"/>
    </row>
    <row r="20" spans="1:13" ht="14.25" x14ac:dyDescent="0.2">
      <c r="A20" s="175" t="s">
        <v>529</v>
      </c>
      <c r="B20" s="375"/>
      <c r="C20" s="55" t="s">
        <v>141</v>
      </c>
      <c r="D20" s="55" t="s">
        <v>142</v>
      </c>
      <c r="E20" s="209">
        <v>621675000</v>
      </c>
      <c r="F20" s="252"/>
      <c r="G20" s="195">
        <v>42352</v>
      </c>
      <c r="H20" s="251"/>
      <c r="I20" s="74">
        <f>125.37/111.82</f>
        <v>1.1211768914326596</v>
      </c>
      <c r="J20" s="32" t="s">
        <v>153</v>
      </c>
      <c r="K20" s="50">
        <f>+E20/I20</f>
        <v>554484314.42928934</v>
      </c>
      <c r="L20" s="170"/>
      <c r="M20" s="54"/>
    </row>
    <row r="21" spans="1:13" ht="14.25" x14ac:dyDescent="0.2">
      <c r="A21" s="175" t="s">
        <v>529</v>
      </c>
      <c r="B21" s="375"/>
      <c r="C21" s="55" t="s">
        <v>141</v>
      </c>
      <c r="D21" s="55" t="s">
        <v>142</v>
      </c>
      <c r="E21" s="209">
        <v>764295785</v>
      </c>
      <c r="F21" s="252"/>
      <c r="G21" s="195">
        <v>42353</v>
      </c>
      <c r="H21" s="251"/>
      <c r="I21" s="74">
        <f>125.37/111.82</f>
        <v>1.1211768914326596</v>
      </c>
      <c r="J21" s="32" t="s">
        <v>153</v>
      </c>
      <c r="K21" s="50">
        <f>+E21/I21</f>
        <v>681690633.15545988</v>
      </c>
      <c r="L21" s="170"/>
      <c r="M21" s="54"/>
    </row>
    <row r="22" spans="1:13" ht="14.25" x14ac:dyDescent="0.2">
      <c r="A22" s="175" t="s">
        <v>529</v>
      </c>
      <c r="B22" s="375"/>
      <c r="C22" s="55" t="s">
        <v>141</v>
      </c>
      <c r="D22" s="55" t="s">
        <v>142</v>
      </c>
      <c r="E22" s="209">
        <v>872199750</v>
      </c>
      <c r="F22" s="252"/>
      <c r="G22" s="195">
        <v>42354</v>
      </c>
      <c r="H22" s="251"/>
      <c r="I22" s="74">
        <f>125.37/111.82</f>
        <v>1.1211768914326596</v>
      </c>
      <c r="J22" s="32" t="s">
        <v>153</v>
      </c>
      <c r="K22" s="50">
        <f>+E22/I22</f>
        <v>777932328.66714525</v>
      </c>
      <c r="L22" s="170"/>
      <c r="M22" s="54"/>
    </row>
    <row r="23" spans="1:13" ht="14.25" x14ac:dyDescent="0.2">
      <c r="A23" s="175" t="s">
        <v>529</v>
      </c>
      <c r="B23" s="375"/>
      <c r="C23" s="55" t="s">
        <v>141</v>
      </c>
      <c r="D23" s="55" t="s">
        <v>142</v>
      </c>
      <c r="E23" s="209">
        <v>19781458</v>
      </c>
      <c r="F23" s="252"/>
      <c r="G23" s="195">
        <v>42354</v>
      </c>
      <c r="H23" s="251"/>
      <c r="I23" s="74">
        <f>125.37/111.82</f>
        <v>1.1211768914326596</v>
      </c>
      <c r="J23" s="32" t="s">
        <v>153</v>
      </c>
      <c r="K23" s="50">
        <f>+E23/I23</f>
        <v>17643476.378399935</v>
      </c>
      <c r="L23" s="170"/>
      <c r="M23" s="54"/>
    </row>
    <row r="24" spans="1:13" ht="14.25" x14ac:dyDescent="0.2">
      <c r="A24" s="175" t="s">
        <v>529</v>
      </c>
      <c r="B24" s="375"/>
      <c r="C24" s="55" t="s">
        <v>141</v>
      </c>
      <c r="D24" s="55" t="s">
        <v>142</v>
      </c>
      <c r="E24" s="209">
        <v>686624625</v>
      </c>
      <c r="F24" s="165"/>
      <c r="G24" s="195">
        <v>42361</v>
      </c>
      <c r="H24" s="251"/>
      <c r="I24" s="74">
        <f>125.37/111.82</f>
        <v>1.1211768914326596</v>
      </c>
      <c r="J24" s="32" t="s">
        <v>153</v>
      </c>
      <c r="K24" s="50">
        <f>+E24/I24</f>
        <v>612414178.57142854</v>
      </c>
      <c r="L24" s="170"/>
      <c r="M24" s="54"/>
    </row>
    <row r="25" spans="1:13" ht="14.25" x14ac:dyDescent="0.2">
      <c r="A25" s="175" t="s">
        <v>529</v>
      </c>
      <c r="B25" s="375"/>
      <c r="C25" s="55" t="s">
        <v>141</v>
      </c>
      <c r="D25" s="55" t="s">
        <v>142</v>
      </c>
      <c r="E25" s="209">
        <v>2047764587</v>
      </c>
      <c r="F25" s="151"/>
      <c r="G25" s="173">
        <v>42382</v>
      </c>
      <c r="H25" s="251"/>
      <c r="I25" s="74">
        <f>126.15/111.82</f>
        <v>1.1281523877660526</v>
      </c>
      <c r="J25" s="32" t="s">
        <v>154</v>
      </c>
      <c r="K25" s="50">
        <f>+E25/I25</f>
        <v>1815148918.8929052</v>
      </c>
      <c r="L25" s="170"/>
      <c r="M25" s="54"/>
    </row>
    <row r="26" spans="1:13" ht="14.25" x14ac:dyDescent="0.2">
      <c r="A26" s="175" t="s">
        <v>529</v>
      </c>
      <c r="B26" s="375"/>
      <c r="C26" s="55" t="s">
        <v>141</v>
      </c>
      <c r="D26" s="55" t="s">
        <v>142</v>
      </c>
      <c r="E26" s="209">
        <v>3071646881</v>
      </c>
      <c r="F26" s="165"/>
      <c r="G26" s="173">
        <v>42384</v>
      </c>
      <c r="H26" s="251"/>
      <c r="I26" s="74">
        <f>126.15/111.82</f>
        <v>1.1281523877660526</v>
      </c>
      <c r="J26" s="32" t="s">
        <v>154</v>
      </c>
      <c r="K26" s="50">
        <f>+E26/I26</f>
        <v>2722723378.7825603</v>
      </c>
      <c r="L26" s="170"/>
      <c r="M26" s="54"/>
    </row>
    <row r="27" spans="1:13" ht="14.25" x14ac:dyDescent="0.2">
      <c r="A27" s="175" t="s">
        <v>529</v>
      </c>
      <c r="B27" s="375"/>
      <c r="C27" s="55" t="s">
        <v>141</v>
      </c>
      <c r="D27" s="55" t="s">
        <v>142</v>
      </c>
      <c r="E27" s="209">
        <v>3071646881</v>
      </c>
      <c r="F27" s="248"/>
      <c r="G27" s="173">
        <v>42409</v>
      </c>
      <c r="H27" s="251"/>
      <c r="I27" s="74">
        <f>127.78/111.82</f>
        <v>1.1427293865140404</v>
      </c>
      <c r="J27" s="32" t="s">
        <v>155</v>
      </c>
      <c r="K27" s="50">
        <f>+E27/I27</f>
        <v>2687991502.8441072</v>
      </c>
      <c r="L27" s="165"/>
      <c r="M27" s="54"/>
    </row>
    <row r="28" spans="1:13" ht="14.25" x14ac:dyDescent="0.2">
      <c r="A28" s="175" t="s">
        <v>529</v>
      </c>
      <c r="B28" s="375"/>
      <c r="C28" s="55" t="s">
        <v>141</v>
      </c>
      <c r="D28" s="55" t="s">
        <v>142</v>
      </c>
      <c r="E28" s="209">
        <v>1769000000</v>
      </c>
      <c r="F28" s="248"/>
      <c r="G28" s="173">
        <v>42415</v>
      </c>
      <c r="H28" s="251"/>
      <c r="I28" s="74">
        <f>127.78/111.82</f>
        <v>1.1427293865140404</v>
      </c>
      <c r="J28" s="32" t="s">
        <v>155</v>
      </c>
      <c r="K28" s="50">
        <f>+E28/I28</f>
        <v>1548048051.3382375</v>
      </c>
      <c r="L28" s="165"/>
      <c r="M28" s="54"/>
    </row>
    <row r="29" spans="1:13" ht="14.25" x14ac:dyDescent="0.2">
      <c r="A29" s="175" t="s">
        <v>529</v>
      </c>
      <c r="B29" s="375"/>
      <c r="C29" s="55" t="s">
        <v>141</v>
      </c>
      <c r="D29" s="55" t="s">
        <v>142</v>
      </c>
      <c r="E29" s="209">
        <v>2653500000</v>
      </c>
      <c r="F29" s="248"/>
      <c r="G29" s="173">
        <v>42416</v>
      </c>
      <c r="H29" s="251"/>
      <c r="I29" s="74">
        <f>127.78/111.82</f>
        <v>1.1427293865140404</v>
      </c>
      <c r="J29" s="32" t="s">
        <v>155</v>
      </c>
      <c r="K29" s="50">
        <f>+E29/I29</f>
        <v>2322072077.0073562</v>
      </c>
      <c r="L29" s="165"/>
      <c r="M29" s="54"/>
    </row>
    <row r="30" spans="1:13" ht="14.25" x14ac:dyDescent="0.2">
      <c r="A30" s="175" t="s">
        <v>529</v>
      </c>
      <c r="B30" s="375"/>
      <c r="C30" s="55" t="s">
        <v>141</v>
      </c>
      <c r="D30" s="55" t="s">
        <v>142</v>
      </c>
      <c r="E30" s="209">
        <v>2653500000</v>
      </c>
      <c r="F30" s="151"/>
      <c r="G30" s="173">
        <v>42430</v>
      </c>
      <c r="H30" s="251"/>
      <c r="I30" s="74">
        <f>129.41/111.82</f>
        <v>1.1573063852620282</v>
      </c>
      <c r="J30" s="32" t="s">
        <v>156</v>
      </c>
      <c r="K30" s="50">
        <f>+E30/I30</f>
        <v>2292824124.8744302</v>
      </c>
      <c r="L30" s="165"/>
      <c r="M30" s="54"/>
    </row>
    <row r="31" spans="1:13" ht="14.25" x14ac:dyDescent="0.2">
      <c r="A31" s="175" t="s">
        <v>529</v>
      </c>
      <c r="B31" s="375"/>
      <c r="C31" s="55" t="s">
        <v>141</v>
      </c>
      <c r="D31" s="55" t="s">
        <v>142</v>
      </c>
      <c r="E31" s="209">
        <v>2465000000</v>
      </c>
      <c r="F31" s="151"/>
      <c r="G31" s="173">
        <v>42443</v>
      </c>
      <c r="H31" s="251"/>
      <c r="I31" s="74">
        <f>129.41/111.82</f>
        <v>1.1573063852620282</v>
      </c>
      <c r="J31" s="32" t="s">
        <v>156</v>
      </c>
      <c r="K31" s="50">
        <f>+E31/I31</f>
        <v>2129945908.3532958</v>
      </c>
      <c r="L31" s="165"/>
      <c r="M31" s="54"/>
    </row>
    <row r="32" spans="1:13" ht="14.25" x14ac:dyDescent="0.2">
      <c r="A32" s="175" t="s">
        <v>529</v>
      </c>
      <c r="B32" s="375"/>
      <c r="C32" s="55" t="s">
        <v>141</v>
      </c>
      <c r="D32" s="55" t="s">
        <v>142</v>
      </c>
      <c r="E32" s="209">
        <v>3697500000</v>
      </c>
      <c r="F32" s="165"/>
      <c r="G32" s="173">
        <v>42444</v>
      </c>
      <c r="H32" s="251"/>
      <c r="I32" s="74">
        <f>129.41/111.82</f>
        <v>1.1573063852620282</v>
      </c>
      <c r="J32" s="32" t="s">
        <v>156</v>
      </c>
      <c r="K32" s="50">
        <f>+E32/I32</f>
        <v>3194918862.5299435</v>
      </c>
      <c r="L32" s="165"/>
      <c r="M32" s="54"/>
    </row>
    <row r="33" spans="1:13" ht="14.25" x14ac:dyDescent="0.2">
      <c r="A33" s="175" t="s">
        <v>529</v>
      </c>
      <c r="B33" s="375"/>
      <c r="C33" s="55" t="s">
        <v>141</v>
      </c>
      <c r="D33" s="55" t="s">
        <v>142</v>
      </c>
      <c r="E33" s="209">
        <v>3549440000</v>
      </c>
      <c r="F33" s="248"/>
      <c r="G33" s="173">
        <v>42459</v>
      </c>
      <c r="H33" s="251"/>
      <c r="I33" s="74">
        <f>129.41/111.82</f>
        <v>1.1573063852620282</v>
      </c>
      <c r="J33" s="32" t="s">
        <v>156</v>
      </c>
      <c r="K33" s="50">
        <f>+E33/I33</f>
        <v>3066983855.9616723</v>
      </c>
      <c r="L33" s="165"/>
      <c r="M33" s="54"/>
    </row>
    <row r="34" spans="1:13" ht="14.25" x14ac:dyDescent="0.2">
      <c r="A34" s="175" t="s">
        <v>529</v>
      </c>
      <c r="B34" s="375"/>
      <c r="C34" s="55" t="s">
        <v>141</v>
      </c>
      <c r="D34" s="55" t="s">
        <v>142</v>
      </c>
      <c r="E34" s="209">
        <v>15478119</v>
      </c>
      <c r="F34" s="151"/>
      <c r="G34" s="173">
        <v>42472</v>
      </c>
      <c r="H34" s="251"/>
      <c r="I34" s="74">
        <f>130.63/111.82</f>
        <v>1.1682167769629763</v>
      </c>
      <c r="J34" s="32" t="s">
        <v>157</v>
      </c>
      <c r="K34" s="50">
        <f>+E34/I34</f>
        <v>13249355.17553395</v>
      </c>
      <c r="L34" s="165"/>
      <c r="M34" s="54"/>
    </row>
    <row r="35" spans="1:13" ht="14.25" x14ac:dyDescent="0.2">
      <c r="A35" s="175" t="s">
        <v>529</v>
      </c>
      <c r="B35" s="375"/>
      <c r="C35" s="55" t="s">
        <v>141</v>
      </c>
      <c r="D35" s="55" t="s">
        <v>142</v>
      </c>
      <c r="E35" s="209">
        <v>2068530699</v>
      </c>
      <c r="F35" s="151"/>
      <c r="G35" s="173">
        <v>42475</v>
      </c>
      <c r="H35" s="251"/>
      <c r="I35" s="74">
        <f>130.63/111.82</f>
        <v>1.1682167769629763</v>
      </c>
      <c r="J35" s="32" t="s">
        <v>157</v>
      </c>
      <c r="K35" s="50">
        <f>+E35/I35</f>
        <v>1770673679.5696239</v>
      </c>
      <c r="L35" s="165"/>
      <c r="M35" s="54"/>
    </row>
    <row r="36" spans="1:13" ht="14.25" x14ac:dyDescent="0.2">
      <c r="A36" s="175" t="s">
        <v>529</v>
      </c>
      <c r="B36" s="375"/>
      <c r="C36" s="55" t="s">
        <v>141</v>
      </c>
      <c r="D36" s="55" t="s">
        <v>142</v>
      </c>
      <c r="E36" s="209">
        <v>3102796048</v>
      </c>
      <c r="F36" s="151"/>
      <c r="G36" s="173">
        <v>42480</v>
      </c>
      <c r="H36" s="251"/>
      <c r="I36" s="74">
        <f>130.63/111.82</f>
        <v>1.1682167769629763</v>
      </c>
      <c r="J36" s="32" t="s">
        <v>157</v>
      </c>
      <c r="K36" s="50">
        <f>+E36/I36</f>
        <v>2656010518.9264331</v>
      </c>
      <c r="L36" s="165"/>
      <c r="M36" s="54"/>
    </row>
    <row r="37" spans="1:13" ht="14.25" x14ac:dyDescent="0.2">
      <c r="A37" s="175" t="s">
        <v>529</v>
      </c>
      <c r="B37" s="375"/>
      <c r="C37" s="55" t="s">
        <v>141</v>
      </c>
      <c r="D37" s="55" t="s">
        <v>142</v>
      </c>
      <c r="E37" s="209">
        <v>3144320000</v>
      </c>
      <c r="F37" s="248"/>
      <c r="G37" s="173">
        <v>42489</v>
      </c>
      <c r="H37" s="251"/>
      <c r="I37" s="74">
        <f>130.63/111.82</f>
        <v>1.1682167769629763</v>
      </c>
      <c r="J37" s="32" t="s">
        <v>157</v>
      </c>
      <c r="K37" s="50">
        <f>+E37/I37</f>
        <v>2691555250.7081065</v>
      </c>
      <c r="L37" s="165"/>
      <c r="M37" s="54"/>
    </row>
    <row r="38" spans="1:13" ht="14.25" x14ac:dyDescent="0.2">
      <c r="A38" s="175" t="s">
        <v>529</v>
      </c>
      <c r="B38" s="375"/>
      <c r="C38" s="55" t="s">
        <v>141</v>
      </c>
      <c r="D38" s="55" t="s">
        <v>142</v>
      </c>
      <c r="E38" s="209">
        <v>2453430908</v>
      </c>
      <c r="F38" s="151"/>
      <c r="G38" s="173">
        <v>42503</v>
      </c>
      <c r="H38" s="251"/>
      <c r="I38" s="74">
        <f>131.28/111.82</f>
        <v>1.1740296905741372</v>
      </c>
      <c r="J38" s="32" t="s">
        <v>158</v>
      </c>
      <c r="K38" s="50">
        <f>+E38/I38</f>
        <v>2089752011.9786713</v>
      </c>
      <c r="L38" s="165"/>
      <c r="M38" s="54"/>
    </row>
    <row r="39" spans="1:13" ht="14.25" x14ac:dyDescent="0.2">
      <c r="A39" s="175" t="s">
        <v>529</v>
      </c>
      <c r="B39" s="375"/>
      <c r="C39" s="55" t="s">
        <v>141</v>
      </c>
      <c r="D39" s="55" t="s">
        <v>142</v>
      </c>
      <c r="E39" s="209">
        <v>3884800000</v>
      </c>
      <c r="F39" s="151"/>
      <c r="G39" s="173">
        <v>42510</v>
      </c>
      <c r="H39" s="251"/>
      <c r="I39" s="74">
        <f>131.28/111.82</f>
        <v>1.1740296905741372</v>
      </c>
      <c r="J39" s="32" t="s">
        <v>158</v>
      </c>
      <c r="K39" s="50">
        <f>+E39/I39</f>
        <v>3308945277.2699566</v>
      </c>
      <c r="L39" s="165"/>
      <c r="M39" s="54"/>
    </row>
    <row r="40" spans="1:13" ht="14.25" x14ac:dyDescent="0.2">
      <c r="A40" s="175" t="s">
        <v>529</v>
      </c>
      <c r="B40" s="375"/>
      <c r="C40" s="55" t="s">
        <v>141</v>
      </c>
      <c r="D40" s="55" t="s">
        <v>142</v>
      </c>
      <c r="E40" s="209">
        <v>3680146362</v>
      </c>
      <c r="F40" s="151"/>
      <c r="G40" s="173">
        <v>42510</v>
      </c>
      <c r="H40" s="251"/>
      <c r="I40" s="74">
        <f>131.28/111.82</f>
        <v>1.1740296905741372</v>
      </c>
      <c r="J40" s="32" t="s">
        <v>158</v>
      </c>
      <c r="K40" s="50">
        <f>+E40/I40</f>
        <v>3134628017.9680066</v>
      </c>
      <c r="L40" s="165"/>
      <c r="M40" s="54"/>
    </row>
    <row r="41" spans="1:13" ht="14.25" x14ac:dyDescent="0.2">
      <c r="A41" s="175" t="s">
        <v>529</v>
      </c>
      <c r="B41" s="375"/>
      <c r="C41" s="55" t="s">
        <v>141</v>
      </c>
      <c r="D41" s="55" t="s">
        <v>142</v>
      </c>
      <c r="E41" s="209">
        <v>1524124667</v>
      </c>
      <c r="F41" s="151"/>
      <c r="G41" s="173">
        <v>42536</v>
      </c>
      <c r="H41" s="251"/>
      <c r="I41" s="74">
        <f>131.95/111.82</f>
        <v>1.1800214630656412</v>
      </c>
      <c r="J41" s="32" t="s">
        <v>159</v>
      </c>
      <c r="K41" s="50">
        <f>+E41/I41</f>
        <v>1291607580.6285715</v>
      </c>
      <c r="L41" s="165"/>
      <c r="M41" s="54"/>
    </row>
    <row r="42" spans="1:13" ht="14.25" x14ac:dyDescent="0.2">
      <c r="A42" s="175" t="s">
        <v>529</v>
      </c>
      <c r="B42" s="375"/>
      <c r="C42" s="55" t="s">
        <v>141</v>
      </c>
      <c r="D42" s="55" t="s">
        <v>142</v>
      </c>
      <c r="E42" s="50">
        <v>2286187000</v>
      </c>
      <c r="F42" s="151"/>
      <c r="G42" s="173">
        <v>42545</v>
      </c>
      <c r="H42" s="251"/>
      <c r="I42" s="74">
        <f>131.95/111.82</f>
        <v>1.1800214630656412</v>
      </c>
      <c r="J42" s="32" t="s">
        <v>159</v>
      </c>
      <c r="K42" s="50">
        <f>+E42/I42</f>
        <v>1937411370.5191362</v>
      </c>
      <c r="L42" s="170"/>
      <c r="M42" s="54"/>
    </row>
    <row r="43" spans="1:13" ht="14.25" x14ac:dyDescent="0.2">
      <c r="A43" s="175" t="s">
        <v>529</v>
      </c>
      <c r="B43" s="375"/>
      <c r="C43" s="55" t="s">
        <v>141</v>
      </c>
      <c r="D43" s="55" t="s">
        <v>142</v>
      </c>
      <c r="E43" s="50">
        <v>2172591291</v>
      </c>
      <c r="F43" s="151"/>
      <c r="G43" s="173">
        <v>42545</v>
      </c>
      <c r="H43" s="251"/>
      <c r="I43" s="74">
        <f>131.95/111.82</f>
        <v>1.1800214630656412</v>
      </c>
      <c r="J43" s="32" t="s">
        <v>159</v>
      </c>
      <c r="K43" s="50">
        <f>+E43/I43</f>
        <v>1841145571.501478</v>
      </c>
      <c r="L43" s="170"/>
      <c r="M43" s="54"/>
    </row>
    <row r="44" spans="1:13" ht="14.25" x14ac:dyDescent="0.2">
      <c r="A44" s="175" t="s">
        <v>529</v>
      </c>
      <c r="B44" s="375"/>
      <c r="C44" s="55" t="s">
        <v>141</v>
      </c>
      <c r="D44" s="55" t="s">
        <v>142</v>
      </c>
      <c r="E44" s="50">
        <v>2300677333</v>
      </c>
      <c r="F44" s="151"/>
      <c r="G44" s="173">
        <v>42565</v>
      </c>
      <c r="H44" s="142"/>
      <c r="I44" s="74">
        <f>132.58/111.82</f>
        <v>1.1856555177964587</v>
      </c>
      <c r="J44" s="32" t="s">
        <v>160</v>
      </c>
      <c r="K44" s="50">
        <f>+E44/I44</f>
        <v>1940426454.7900133</v>
      </c>
      <c r="L44" s="165"/>
      <c r="M44" s="54"/>
    </row>
    <row r="45" spans="1:13" ht="14.25" x14ac:dyDescent="0.2">
      <c r="A45" s="175" t="s">
        <v>529</v>
      </c>
      <c r="B45" s="375"/>
      <c r="C45" s="55" t="s">
        <v>141</v>
      </c>
      <c r="D45" s="55" t="s">
        <v>142</v>
      </c>
      <c r="E45" s="50">
        <v>3451016000</v>
      </c>
      <c r="F45" s="151"/>
      <c r="G45" s="173">
        <v>42576</v>
      </c>
      <c r="H45" s="142"/>
      <c r="I45" s="74">
        <f>132.58/111.82</f>
        <v>1.1856555177964587</v>
      </c>
      <c r="J45" s="32" t="s">
        <v>160</v>
      </c>
      <c r="K45" s="50">
        <f>+E45/I45</f>
        <v>2910639682.6067276</v>
      </c>
      <c r="L45" s="165"/>
      <c r="M45" s="54"/>
    </row>
    <row r="46" spans="1:13" ht="14.25" x14ac:dyDescent="0.2">
      <c r="A46" s="175" t="s">
        <v>529</v>
      </c>
      <c r="B46" s="375"/>
      <c r="C46" s="55" t="s">
        <v>141</v>
      </c>
      <c r="D46" s="55" t="s">
        <v>142</v>
      </c>
      <c r="E46" s="50">
        <v>3451016000</v>
      </c>
      <c r="F46" s="151"/>
      <c r="G46" s="173">
        <v>42577</v>
      </c>
      <c r="H46" s="142"/>
      <c r="I46" s="74">
        <f>132.58/111.82</f>
        <v>1.1856555177964587</v>
      </c>
      <c r="J46" s="32" t="s">
        <v>160</v>
      </c>
      <c r="K46" s="50">
        <f>+E46/I46</f>
        <v>2910639682.6067276</v>
      </c>
      <c r="L46" s="165"/>
      <c r="M46" s="54"/>
    </row>
    <row r="47" spans="1:13" ht="14.25" x14ac:dyDescent="0.2">
      <c r="A47" s="175" t="s">
        <v>529</v>
      </c>
      <c r="B47" s="375"/>
      <c r="C47" s="55" t="s">
        <v>141</v>
      </c>
      <c r="D47" s="55" t="s">
        <v>142</v>
      </c>
      <c r="E47" s="50">
        <v>1592666667</v>
      </c>
      <c r="F47" s="151"/>
      <c r="G47" s="173">
        <v>42594</v>
      </c>
      <c r="H47" s="142"/>
      <c r="I47" s="74">
        <f>133.27/111.82</f>
        <v>1.1918261491683064</v>
      </c>
      <c r="J47" s="32" t="s">
        <v>161</v>
      </c>
      <c r="K47" s="50">
        <f>+E47/I47</f>
        <v>1336324654.4904327</v>
      </c>
      <c r="L47" s="165"/>
      <c r="M47" s="54"/>
    </row>
    <row r="48" spans="1:13" ht="14.25" x14ac:dyDescent="0.2">
      <c r="A48" s="175" t="s">
        <v>529</v>
      </c>
      <c r="B48" s="375"/>
      <c r="C48" s="55" t="s">
        <v>141</v>
      </c>
      <c r="D48" s="55" t="s">
        <v>142</v>
      </c>
      <c r="E48" s="50">
        <v>733125000</v>
      </c>
      <c r="F48" s="151"/>
      <c r="G48" s="173">
        <v>42601</v>
      </c>
      <c r="H48" s="142"/>
      <c r="I48" s="74">
        <f>133.27/111.82</f>
        <v>1.1918261491683064</v>
      </c>
      <c r="J48" s="32" t="s">
        <v>161</v>
      </c>
      <c r="K48" s="50">
        <f>+E48/I48</f>
        <v>615127466.79672837</v>
      </c>
      <c r="L48" s="165"/>
      <c r="M48" s="54"/>
    </row>
    <row r="49" spans="1:13" ht="14.25" x14ac:dyDescent="0.2">
      <c r="A49" s="175" t="s">
        <v>529</v>
      </c>
      <c r="B49" s="375"/>
      <c r="C49" s="55" t="s">
        <v>141</v>
      </c>
      <c r="D49" s="55" t="s">
        <v>142</v>
      </c>
      <c r="E49" s="50">
        <v>2360000000</v>
      </c>
      <c r="F49" s="151"/>
      <c r="G49" s="173">
        <v>42613</v>
      </c>
      <c r="H49" s="142"/>
      <c r="I49" s="74">
        <f>133.27/111.82</f>
        <v>1.1918261491683064</v>
      </c>
      <c r="J49" s="32" t="s">
        <v>161</v>
      </c>
      <c r="K49" s="50">
        <f>+E49/I49</f>
        <v>1980154573.4223752</v>
      </c>
      <c r="L49" s="165"/>
      <c r="M49" s="54"/>
    </row>
    <row r="50" spans="1:13" ht="14.25" x14ac:dyDescent="0.2">
      <c r="A50" s="175" t="s">
        <v>529</v>
      </c>
      <c r="B50" s="375"/>
      <c r="C50" s="55" t="s">
        <v>141</v>
      </c>
      <c r="D50" s="55" t="s">
        <v>142</v>
      </c>
      <c r="E50" s="50">
        <v>1655875000</v>
      </c>
      <c r="F50" s="151"/>
      <c r="G50" s="173">
        <v>42613</v>
      </c>
      <c r="H50" s="142"/>
      <c r="I50" s="74">
        <f>133.27/111.82</f>
        <v>1.1918261491683064</v>
      </c>
      <c r="J50" s="32" t="s">
        <v>161</v>
      </c>
      <c r="K50" s="50">
        <f>+E50/I50</f>
        <v>1389359514.5193965</v>
      </c>
      <c r="L50" s="165"/>
      <c r="M50" s="54"/>
    </row>
    <row r="51" spans="1:13" ht="14.25" x14ac:dyDescent="0.2">
      <c r="A51" s="175" t="s">
        <v>529</v>
      </c>
      <c r="B51" s="375"/>
      <c r="C51" s="55" t="s">
        <v>141</v>
      </c>
      <c r="D51" s="55" t="s">
        <v>142</v>
      </c>
      <c r="E51" s="50">
        <v>29000000</v>
      </c>
      <c r="F51" s="151"/>
      <c r="G51" s="173">
        <v>42614</v>
      </c>
      <c r="H51" s="142"/>
      <c r="I51" s="74">
        <f>132.85/111.82</f>
        <v>1.1880701126810946</v>
      </c>
      <c r="J51" s="32" t="s">
        <v>162</v>
      </c>
      <c r="K51" s="50">
        <f>+E51/I51</f>
        <v>24409333.835152429</v>
      </c>
      <c r="L51" s="165"/>
      <c r="M51" s="54"/>
    </row>
    <row r="52" spans="1:13" ht="14.25" x14ac:dyDescent="0.2">
      <c r="A52" s="175" t="s">
        <v>529</v>
      </c>
      <c r="B52" s="375"/>
      <c r="C52" s="55" t="s">
        <v>141</v>
      </c>
      <c r="D52" s="55" t="s">
        <v>142</v>
      </c>
      <c r="E52" s="50">
        <v>600000000</v>
      </c>
      <c r="F52" s="151"/>
      <c r="G52" s="173">
        <v>42627</v>
      </c>
      <c r="H52" s="142"/>
      <c r="I52" s="74">
        <f>132.85/111.82</f>
        <v>1.1880701126810946</v>
      </c>
      <c r="J52" s="32" t="s">
        <v>162</v>
      </c>
      <c r="K52" s="50">
        <f>+E52/I52</f>
        <v>505020700.0376364</v>
      </c>
      <c r="L52" s="165"/>
      <c r="M52" s="54"/>
    </row>
    <row r="53" spans="1:13" ht="14.25" x14ac:dyDescent="0.2">
      <c r="A53" s="175" t="s">
        <v>529</v>
      </c>
      <c r="B53" s="375"/>
      <c r="C53" s="55" t="s">
        <v>141</v>
      </c>
      <c r="D53" s="55" t="s">
        <v>142</v>
      </c>
      <c r="E53" s="50">
        <v>3570400000</v>
      </c>
      <c r="F53" s="151"/>
      <c r="G53" s="173">
        <v>42629</v>
      </c>
      <c r="H53" s="142"/>
      <c r="I53" s="74">
        <f>132.85/111.82</f>
        <v>1.1880701126810946</v>
      </c>
      <c r="J53" s="32" t="s">
        <v>162</v>
      </c>
      <c r="K53" s="50">
        <f>+E53/I53</f>
        <v>3005209845.6906285</v>
      </c>
      <c r="L53" s="165"/>
      <c r="M53" s="54"/>
    </row>
    <row r="54" spans="1:13" ht="14.25" x14ac:dyDescent="0.2">
      <c r="A54" s="175" t="s">
        <v>529</v>
      </c>
      <c r="B54" s="375"/>
      <c r="C54" s="55" t="s">
        <v>141</v>
      </c>
      <c r="D54" s="55" t="s">
        <v>142</v>
      </c>
      <c r="E54" s="50">
        <v>1780266667</v>
      </c>
      <c r="F54" s="151"/>
      <c r="G54" s="173">
        <v>42627</v>
      </c>
      <c r="H54" s="142"/>
      <c r="I54" s="74">
        <f>132.85/111.82</f>
        <v>1.1880701126810946</v>
      </c>
      <c r="J54" s="32" t="s">
        <v>162</v>
      </c>
      <c r="K54" s="50">
        <f>+E54/I54</f>
        <v>1498452530.7033496</v>
      </c>
      <c r="L54" s="165"/>
      <c r="M54" s="54"/>
    </row>
    <row r="55" spans="1:13" ht="14.25" x14ac:dyDescent="0.2">
      <c r="A55" s="175" t="s">
        <v>529</v>
      </c>
      <c r="B55" s="375"/>
      <c r="C55" s="55" t="s">
        <v>141</v>
      </c>
      <c r="D55" s="55" t="s">
        <v>142</v>
      </c>
      <c r="E55" s="50">
        <v>5000000000</v>
      </c>
      <c r="F55" s="151"/>
      <c r="G55" s="173">
        <v>42657</v>
      </c>
      <c r="H55" s="142"/>
      <c r="I55" s="74">
        <f>132.78/111.82</f>
        <v>1.1874441065998929</v>
      </c>
      <c r="J55" s="32" t="s">
        <v>163</v>
      </c>
      <c r="K55" s="50">
        <f>+E55/I55</f>
        <v>4210724506.702816</v>
      </c>
      <c r="L55" s="165"/>
      <c r="M55" s="54"/>
    </row>
    <row r="56" spans="1:13" ht="14.25" x14ac:dyDescent="0.2">
      <c r="A56" s="175" t="s">
        <v>529</v>
      </c>
      <c r="B56" s="375"/>
      <c r="C56" s="55" t="s">
        <v>141</v>
      </c>
      <c r="D56" s="55" t="s">
        <v>142</v>
      </c>
      <c r="E56" s="50">
        <v>2900000000</v>
      </c>
      <c r="F56" s="151"/>
      <c r="G56" s="173">
        <v>42661</v>
      </c>
      <c r="H56" s="142"/>
      <c r="I56" s="74">
        <f>132.78/111.82</f>
        <v>1.1874441065998929</v>
      </c>
      <c r="J56" s="32" t="s">
        <v>163</v>
      </c>
      <c r="K56" s="50">
        <f>+E56/I56</f>
        <v>2442220213.8876333</v>
      </c>
      <c r="L56" s="165"/>
      <c r="M56" s="54"/>
    </row>
    <row r="57" spans="1:13" ht="14.25" x14ac:dyDescent="0.2">
      <c r="A57" s="175" t="s">
        <v>529</v>
      </c>
      <c r="B57" s="375"/>
      <c r="C57" s="55" t="s">
        <v>141</v>
      </c>
      <c r="D57" s="55" t="s">
        <v>142</v>
      </c>
      <c r="E57" s="50">
        <v>3570400000</v>
      </c>
      <c r="F57" s="151"/>
      <c r="G57" s="173">
        <v>42664</v>
      </c>
      <c r="H57" s="142"/>
      <c r="I57" s="74">
        <f>132.78/111.82</f>
        <v>1.1874441065998929</v>
      </c>
      <c r="J57" s="32" t="s">
        <v>163</v>
      </c>
      <c r="K57" s="50">
        <f>+E57/I57</f>
        <v>3006794155.746347</v>
      </c>
      <c r="L57" s="165"/>
      <c r="M57" s="54"/>
    </row>
    <row r="58" spans="1:13" ht="15" x14ac:dyDescent="0.2">
      <c r="A58" s="175" t="s">
        <v>529</v>
      </c>
      <c r="B58" s="375"/>
      <c r="C58" s="55" t="s">
        <v>141</v>
      </c>
      <c r="D58" s="55" t="s">
        <v>142</v>
      </c>
      <c r="E58" s="50">
        <v>5000000000</v>
      </c>
      <c r="F58" s="151"/>
      <c r="G58" s="173">
        <v>42674</v>
      </c>
      <c r="H58" s="142"/>
      <c r="I58" s="74">
        <f>132.78/111.82</f>
        <v>1.1874441065998929</v>
      </c>
      <c r="J58" s="32" t="s">
        <v>163</v>
      </c>
      <c r="K58" s="50">
        <f>+E58/I58</f>
        <v>4210724506.702816</v>
      </c>
      <c r="L58" s="250"/>
      <c r="M58" s="54"/>
    </row>
    <row r="59" spans="1:13" ht="14.25" x14ac:dyDescent="0.2">
      <c r="A59" s="175" t="s">
        <v>529</v>
      </c>
      <c r="B59" s="375"/>
      <c r="C59" s="55" t="s">
        <v>141</v>
      </c>
      <c r="D59" s="55" t="s">
        <v>142</v>
      </c>
      <c r="E59" s="50">
        <v>433333333</v>
      </c>
      <c r="F59" s="151"/>
      <c r="G59" s="173">
        <v>42674</v>
      </c>
      <c r="H59" s="142"/>
      <c r="I59" s="74">
        <f>132.78/111.82</f>
        <v>1.1874441065998929</v>
      </c>
      <c r="J59" s="32" t="s">
        <v>163</v>
      </c>
      <c r="K59" s="50">
        <f>+E59/I59</f>
        <v>364929456.96686244</v>
      </c>
      <c r="L59" s="165"/>
      <c r="M59" s="54"/>
    </row>
    <row r="60" spans="1:13" ht="15" x14ac:dyDescent="0.2">
      <c r="A60" s="175" t="s">
        <v>529</v>
      </c>
      <c r="B60" s="375"/>
      <c r="C60" s="55" t="s">
        <v>141</v>
      </c>
      <c r="D60" s="55" t="s">
        <v>142</v>
      </c>
      <c r="E60" s="50">
        <v>1260000000</v>
      </c>
      <c r="F60" s="151"/>
      <c r="G60" s="173">
        <v>42689</v>
      </c>
      <c r="H60" s="142"/>
      <c r="I60" s="74">
        <f>132.7/111.82</f>
        <v>1.186728671078519</v>
      </c>
      <c r="J60" s="32" t="s">
        <v>164</v>
      </c>
      <c r="K60" s="50">
        <f>+E60/I60</f>
        <v>1061742275.8100981</v>
      </c>
      <c r="L60" s="250"/>
      <c r="M60" s="54"/>
    </row>
    <row r="61" spans="1:13" ht="14.25" x14ac:dyDescent="0.2">
      <c r="A61" s="175" t="s">
        <v>529</v>
      </c>
      <c r="B61" s="375"/>
      <c r="C61" s="55" t="s">
        <v>141</v>
      </c>
      <c r="D61" s="55" t="s">
        <v>142</v>
      </c>
      <c r="E61" s="50">
        <v>1890000000</v>
      </c>
      <c r="F61" s="249"/>
      <c r="G61" s="173">
        <v>42691</v>
      </c>
      <c r="H61" s="142"/>
      <c r="I61" s="74">
        <f>132.7/111.82</f>
        <v>1.186728671078519</v>
      </c>
      <c r="J61" s="32" t="s">
        <v>164</v>
      </c>
      <c r="K61" s="50">
        <f>+E61/I61</f>
        <v>1592613413.715147</v>
      </c>
      <c r="L61" s="165"/>
      <c r="M61" s="54"/>
    </row>
    <row r="62" spans="1:13" ht="14.25" x14ac:dyDescent="0.2">
      <c r="A62" s="175" t="s">
        <v>529</v>
      </c>
      <c r="B62" s="375"/>
      <c r="C62" s="55" t="s">
        <v>141</v>
      </c>
      <c r="D62" s="55" t="s">
        <v>142</v>
      </c>
      <c r="E62" s="50">
        <v>1890000000</v>
      </c>
      <c r="F62" s="151"/>
      <c r="G62" s="173">
        <v>42704</v>
      </c>
      <c r="H62" s="142"/>
      <c r="I62" s="74">
        <f>132.7/111.82</f>
        <v>1.186728671078519</v>
      </c>
      <c r="J62" s="32" t="s">
        <v>164</v>
      </c>
      <c r="K62" s="50">
        <f>+E62/I62</f>
        <v>1592613413.715147</v>
      </c>
      <c r="L62" s="165"/>
      <c r="M62" s="54"/>
    </row>
    <row r="63" spans="1:13" ht="14.25" x14ac:dyDescent="0.2">
      <c r="A63" s="175" t="s">
        <v>529</v>
      </c>
      <c r="B63" s="375"/>
      <c r="C63" s="55" t="s">
        <v>141</v>
      </c>
      <c r="D63" s="55" t="s">
        <v>142</v>
      </c>
      <c r="E63" s="50">
        <v>1440000000</v>
      </c>
      <c r="F63" s="151"/>
      <c r="G63" s="173">
        <v>42755</v>
      </c>
      <c r="H63" s="142"/>
      <c r="I63" s="74">
        <f>133.4/111.82</f>
        <v>1.1929887318905386</v>
      </c>
      <c r="J63" s="32" t="s">
        <v>165</v>
      </c>
      <c r="K63" s="50">
        <f>+E63/I63</f>
        <v>1207052473.7631183</v>
      </c>
      <c r="L63" s="165"/>
      <c r="M63" s="54"/>
    </row>
    <row r="64" spans="1:13" ht="14.25" x14ac:dyDescent="0.2">
      <c r="A64" s="175" t="s">
        <v>529</v>
      </c>
      <c r="B64" s="375"/>
      <c r="C64" s="55" t="s">
        <v>141</v>
      </c>
      <c r="D64" s="55" t="s">
        <v>142</v>
      </c>
      <c r="E64" s="50">
        <v>1440000000</v>
      </c>
      <c r="F64" s="151"/>
      <c r="G64" s="173">
        <v>42755</v>
      </c>
      <c r="H64" s="142"/>
      <c r="I64" s="74">
        <f>133.4/111.82</f>
        <v>1.1929887318905386</v>
      </c>
      <c r="J64" s="32" t="s">
        <v>165</v>
      </c>
      <c r="K64" s="50">
        <f>+E64/I64</f>
        <v>1207052473.7631183</v>
      </c>
      <c r="L64" s="165"/>
      <c r="M64" s="54"/>
    </row>
    <row r="65" spans="1:13" ht="14.25" x14ac:dyDescent="0.2">
      <c r="A65" s="175" t="s">
        <v>529</v>
      </c>
      <c r="B65" s="375"/>
      <c r="C65" s="55" t="s">
        <v>141</v>
      </c>
      <c r="D65" s="55" t="s">
        <v>142</v>
      </c>
      <c r="E65" s="50">
        <v>960000000</v>
      </c>
      <c r="F65" s="151"/>
      <c r="G65" s="173">
        <v>42767</v>
      </c>
      <c r="H65" s="142"/>
      <c r="I65" s="74">
        <f>134.77/111.82</f>
        <v>1.2052405651940621</v>
      </c>
      <c r="J65" s="32" t="s">
        <v>166</v>
      </c>
      <c r="K65" s="50">
        <f>+E65/I65</f>
        <v>796521481.04177475</v>
      </c>
      <c r="L65" s="165"/>
      <c r="M65" s="54"/>
    </row>
    <row r="66" spans="1:13" ht="14.25" x14ac:dyDescent="0.2">
      <c r="A66" s="175" t="s">
        <v>529</v>
      </c>
      <c r="B66" s="375"/>
      <c r="C66" s="55" t="s">
        <v>141</v>
      </c>
      <c r="D66" s="55" t="s">
        <v>142</v>
      </c>
      <c r="E66" s="50">
        <v>3450000000</v>
      </c>
      <c r="F66" s="151"/>
      <c r="G66" s="173">
        <v>42826</v>
      </c>
      <c r="H66" s="142"/>
      <c r="I66" s="74">
        <f>134.77/111.82</f>
        <v>1.2052405651940621</v>
      </c>
      <c r="J66" s="32" t="s">
        <v>167</v>
      </c>
      <c r="K66" s="50">
        <f>+E66/I66</f>
        <v>2862499072.4938779</v>
      </c>
      <c r="L66" s="165"/>
      <c r="M66" s="54"/>
    </row>
    <row r="67" spans="1:13" ht="14.25" x14ac:dyDescent="0.2">
      <c r="A67" s="175" t="s">
        <v>529</v>
      </c>
      <c r="B67" s="375"/>
      <c r="C67" s="55" t="s">
        <v>141</v>
      </c>
      <c r="D67" s="55" t="s">
        <v>142</v>
      </c>
      <c r="E67" s="50">
        <v>2300000000</v>
      </c>
      <c r="F67" s="248"/>
      <c r="G67" s="173">
        <v>42788</v>
      </c>
      <c r="H67" s="142"/>
      <c r="I67" s="74">
        <f>134.77/111.82</f>
        <v>1.2052405651940621</v>
      </c>
      <c r="J67" s="32" t="s">
        <v>167</v>
      </c>
      <c r="K67" s="50">
        <f>+E67/I67</f>
        <v>1908332714.9959188</v>
      </c>
      <c r="L67" s="165"/>
      <c r="M67" s="54"/>
    </row>
    <row r="68" spans="1:13" ht="14.25" x14ac:dyDescent="0.2">
      <c r="A68" s="175" t="s">
        <v>529</v>
      </c>
      <c r="B68" s="375"/>
      <c r="C68" s="55" t="s">
        <v>141</v>
      </c>
      <c r="D68" s="55" t="s">
        <v>142</v>
      </c>
      <c r="E68" s="50">
        <v>3450000000</v>
      </c>
      <c r="F68" s="151"/>
      <c r="G68" s="173">
        <v>42786</v>
      </c>
      <c r="H68" s="142"/>
      <c r="I68" s="74">
        <f>136.12/111.82</f>
        <v>1.2173135396172421</v>
      </c>
      <c r="J68" s="32" t="s">
        <v>167</v>
      </c>
      <c r="K68" s="50">
        <f>+E68/I68</f>
        <v>2834109609.1683807</v>
      </c>
      <c r="L68" s="165"/>
      <c r="M68" s="54"/>
    </row>
    <row r="69" spans="1:13" ht="14.25" x14ac:dyDescent="0.2">
      <c r="A69" s="175" t="s">
        <v>529</v>
      </c>
      <c r="B69" s="375"/>
      <c r="C69" s="55" t="s">
        <v>141</v>
      </c>
      <c r="D69" s="55" t="s">
        <v>142</v>
      </c>
      <c r="E69" s="50">
        <v>330000000</v>
      </c>
      <c r="F69" s="248"/>
      <c r="G69" s="173">
        <v>42842</v>
      </c>
      <c r="H69" s="142"/>
      <c r="I69" s="74">
        <f>136.76/111.82</f>
        <v>1.2230370237882311</v>
      </c>
      <c r="J69" s="32" t="s">
        <v>167</v>
      </c>
      <c r="K69" s="50">
        <f>+E69/I69</f>
        <v>269820122.84293652</v>
      </c>
      <c r="L69" s="165"/>
      <c r="M69" s="54"/>
    </row>
    <row r="70" spans="1:13" ht="14.25" x14ac:dyDescent="0.2">
      <c r="A70" s="175" t="s">
        <v>529</v>
      </c>
      <c r="B70" s="375"/>
      <c r="C70" s="55" t="s">
        <v>141</v>
      </c>
      <c r="D70" s="55" t="s">
        <v>142</v>
      </c>
      <c r="E70" s="50">
        <v>90000000</v>
      </c>
      <c r="F70" s="151"/>
      <c r="G70" s="173">
        <v>42849</v>
      </c>
      <c r="H70" s="142"/>
      <c r="I70" s="74">
        <f>136.76/111.82</f>
        <v>1.2230370237882311</v>
      </c>
      <c r="J70" s="32" t="s">
        <v>167</v>
      </c>
      <c r="K70" s="50">
        <f>+E70/I70</f>
        <v>73587306.229891777</v>
      </c>
      <c r="L70" s="165"/>
      <c r="M70" s="54"/>
    </row>
    <row r="71" spans="1:13" ht="14.25" x14ac:dyDescent="0.2">
      <c r="A71" s="175" t="s">
        <v>529</v>
      </c>
      <c r="B71" s="375"/>
      <c r="C71" s="55" t="s">
        <v>141</v>
      </c>
      <c r="D71" s="55" t="s">
        <v>142</v>
      </c>
      <c r="E71" s="50">
        <v>420000000</v>
      </c>
      <c r="F71" s="248"/>
      <c r="G71" s="173">
        <v>42851</v>
      </c>
      <c r="H71" s="142"/>
      <c r="I71" s="74">
        <f>136.76/111.82</f>
        <v>1.2230370237882311</v>
      </c>
      <c r="J71" s="32" t="s">
        <v>167</v>
      </c>
      <c r="K71" s="50">
        <f>+E71/I71</f>
        <v>343407429.07282829</v>
      </c>
      <c r="L71" s="165"/>
      <c r="M71" s="54"/>
    </row>
    <row r="72" spans="1:13" ht="14.25" x14ac:dyDescent="0.2">
      <c r="A72" s="175" t="s">
        <v>529</v>
      </c>
      <c r="B72" s="375"/>
      <c r="C72" s="55" t="s">
        <v>141</v>
      </c>
      <c r="D72" s="55" t="s">
        <v>142</v>
      </c>
      <c r="E72" s="50">
        <v>75000000</v>
      </c>
      <c r="F72" s="151"/>
      <c r="G72" s="173">
        <v>42858</v>
      </c>
      <c r="H72" s="142"/>
      <c r="I72" s="74">
        <f>137.4/111.82</f>
        <v>1.2287605079592203</v>
      </c>
      <c r="J72" s="32" t="s">
        <v>168</v>
      </c>
      <c r="K72" s="50">
        <f>+E72/I72</f>
        <v>61037117.903930128</v>
      </c>
      <c r="L72" s="165"/>
      <c r="M72" s="54"/>
    </row>
    <row r="73" spans="1:13" ht="14.25" x14ac:dyDescent="0.2">
      <c r="A73" s="175" t="s">
        <v>529</v>
      </c>
      <c r="B73" s="375"/>
      <c r="C73" s="55" t="s">
        <v>141</v>
      </c>
      <c r="D73" s="55" t="s">
        <v>142</v>
      </c>
      <c r="E73" s="50">
        <v>280000000</v>
      </c>
      <c r="F73" s="151"/>
      <c r="G73" s="173">
        <v>42859</v>
      </c>
      <c r="H73" s="142"/>
      <c r="I73" s="74">
        <f>137.4/111.82</f>
        <v>1.2287605079592203</v>
      </c>
      <c r="J73" s="32" t="s">
        <v>168</v>
      </c>
      <c r="K73" s="50">
        <f>+E73/I73</f>
        <v>227871906.84133914</v>
      </c>
      <c r="L73" s="165"/>
      <c r="M73" s="54"/>
    </row>
    <row r="74" spans="1:13" ht="14.25" x14ac:dyDescent="0.2">
      <c r="A74" s="175" t="s">
        <v>529</v>
      </c>
      <c r="B74" s="375"/>
      <c r="C74" s="55" t="s">
        <v>141</v>
      </c>
      <c r="D74" s="55" t="s">
        <v>142</v>
      </c>
      <c r="E74" s="50">
        <v>50000000</v>
      </c>
      <c r="F74" s="151"/>
      <c r="G74" s="173">
        <v>42860</v>
      </c>
      <c r="H74" s="142"/>
      <c r="I74" s="74">
        <f>137.4/111.82</f>
        <v>1.2287605079592203</v>
      </c>
      <c r="J74" s="32" t="s">
        <v>168</v>
      </c>
      <c r="K74" s="50">
        <f>+E74/I74</f>
        <v>40691411.935953416</v>
      </c>
      <c r="L74" s="165"/>
      <c r="M74" s="54"/>
    </row>
    <row r="75" spans="1:13" ht="14.25" x14ac:dyDescent="0.2">
      <c r="A75" s="175" t="s">
        <v>529</v>
      </c>
      <c r="B75" s="375"/>
      <c r="C75" s="55" t="s">
        <v>141</v>
      </c>
      <c r="D75" s="55" t="s">
        <v>142</v>
      </c>
      <c r="E75" s="50">
        <v>187500000</v>
      </c>
      <c r="F75" s="151"/>
      <c r="G75" s="173">
        <v>42864</v>
      </c>
      <c r="H75" s="142"/>
      <c r="I75" s="74">
        <f>137.4/111.82</f>
        <v>1.2287605079592203</v>
      </c>
      <c r="J75" s="32" t="s">
        <v>168</v>
      </c>
      <c r="K75" s="50">
        <f>+E75/I75</f>
        <v>152592794.75982532</v>
      </c>
      <c r="L75" s="165"/>
      <c r="M75" s="54"/>
    </row>
    <row r="76" spans="1:13" ht="14.25" x14ac:dyDescent="0.2">
      <c r="A76" s="175" t="s">
        <v>529</v>
      </c>
      <c r="B76" s="375"/>
      <c r="C76" s="55" t="s">
        <v>141</v>
      </c>
      <c r="D76" s="55" t="s">
        <v>142</v>
      </c>
      <c r="E76" s="50">
        <v>100000000</v>
      </c>
      <c r="F76" s="151"/>
      <c r="G76" s="173">
        <v>42867</v>
      </c>
      <c r="H76" s="142"/>
      <c r="I76" s="74">
        <f>137.4/111.82</f>
        <v>1.2287605079592203</v>
      </c>
      <c r="J76" s="32" t="s">
        <v>168</v>
      </c>
      <c r="K76" s="50">
        <f>+E76/I76</f>
        <v>81382823.871906832</v>
      </c>
      <c r="L76" s="165"/>
      <c r="M76" s="54"/>
    </row>
    <row r="77" spans="1:13" ht="14.25" x14ac:dyDescent="0.2">
      <c r="A77" s="175" t="s">
        <v>529</v>
      </c>
      <c r="B77" s="375"/>
      <c r="C77" s="55" t="s">
        <v>141</v>
      </c>
      <c r="D77" s="55" t="s">
        <v>142</v>
      </c>
      <c r="E77" s="50">
        <v>187500000</v>
      </c>
      <c r="F77" s="151"/>
      <c r="G77" s="173">
        <v>42871</v>
      </c>
      <c r="H77" s="142"/>
      <c r="I77" s="74">
        <f>137.4/111.82</f>
        <v>1.2287605079592203</v>
      </c>
      <c r="J77" s="32" t="s">
        <v>168</v>
      </c>
      <c r="K77" s="50">
        <f>+E77/I77</f>
        <v>152592794.75982532</v>
      </c>
      <c r="L77" s="165"/>
      <c r="M77" s="54"/>
    </row>
    <row r="78" spans="1:13" ht="14.25" x14ac:dyDescent="0.2">
      <c r="A78" s="175" t="s">
        <v>529</v>
      </c>
      <c r="B78" s="375"/>
      <c r="C78" s="55" t="s">
        <v>141</v>
      </c>
      <c r="D78" s="55" t="s">
        <v>142</v>
      </c>
      <c r="E78" s="50">
        <v>90000000</v>
      </c>
      <c r="F78" s="151"/>
      <c r="G78" s="173">
        <v>42871</v>
      </c>
      <c r="H78" s="142"/>
      <c r="I78" s="74">
        <f>137.4/111.82</f>
        <v>1.2287605079592203</v>
      </c>
      <c r="J78" s="32" t="s">
        <v>168</v>
      </c>
      <c r="K78" s="50">
        <f>+E78/I78</f>
        <v>73244541.484716147</v>
      </c>
      <c r="L78" s="165"/>
      <c r="M78" s="54"/>
    </row>
    <row r="79" spans="1:13" ht="14.25" x14ac:dyDescent="0.2">
      <c r="A79" s="175" t="s">
        <v>529</v>
      </c>
      <c r="B79" s="375"/>
      <c r="C79" s="55" t="s">
        <v>141</v>
      </c>
      <c r="D79" s="55" t="s">
        <v>142</v>
      </c>
      <c r="E79" s="50">
        <v>25000000</v>
      </c>
      <c r="F79" s="248"/>
      <c r="G79" s="173">
        <v>42873</v>
      </c>
      <c r="H79" s="142"/>
      <c r="I79" s="74">
        <f>137.4/111.82</f>
        <v>1.2287605079592203</v>
      </c>
      <c r="J79" s="32" t="s">
        <v>168</v>
      </c>
      <c r="K79" s="50">
        <f>+E79/I79</f>
        <v>20345705.967976708</v>
      </c>
      <c r="L79" s="165"/>
      <c r="M79" s="54"/>
    </row>
    <row r="80" spans="1:13" ht="14.25" x14ac:dyDescent="0.2">
      <c r="A80" s="175" t="s">
        <v>529</v>
      </c>
      <c r="B80" s="375"/>
      <c r="C80" s="55" t="s">
        <v>141</v>
      </c>
      <c r="D80" s="55" t="s">
        <v>142</v>
      </c>
      <c r="E80" s="50">
        <v>15000000</v>
      </c>
      <c r="F80" s="248"/>
      <c r="G80" s="173">
        <v>43010</v>
      </c>
      <c r="H80" s="142"/>
      <c r="I80" s="74">
        <f>138.05/111.82</f>
        <v>1.2345734215703812</v>
      </c>
      <c r="J80" s="32" t="s">
        <v>169</v>
      </c>
      <c r="K80" s="50">
        <f>+E80/I80</f>
        <v>12149945.67185802</v>
      </c>
      <c r="L80" s="165"/>
      <c r="M80" s="54"/>
    </row>
    <row r="81" spans="1:13" ht="14.25" x14ac:dyDescent="0.2">
      <c r="A81" s="175" t="s">
        <v>529</v>
      </c>
      <c r="B81" s="375"/>
      <c r="C81" s="55" t="s">
        <v>141</v>
      </c>
      <c r="D81" s="55" t="s">
        <v>142</v>
      </c>
      <c r="E81" s="50">
        <v>10000000</v>
      </c>
      <c r="F81" s="248"/>
      <c r="G81" s="173">
        <v>43039</v>
      </c>
      <c r="H81" s="142"/>
      <c r="I81" s="74">
        <f>138.05/111.82</f>
        <v>1.2345734215703812</v>
      </c>
      <c r="J81" s="32" t="s">
        <v>170</v>
      </c>
      <c r="K81" s="50">
        <f>+E81/I81</f>
        <v>8099963.7812386798</v>
      </c>
      <c r="L81" s="165"/>
      <c r="M81" s="54"/>
    </row>
    <row r="82" spans="1:13" ht="14.25" x14ac:dyDescent="0.2">
      <c r="A82" s="175" t="s">
        <v>529</v>
      </c>
      <c r="B82" s="375" t="s">
        <v>1029</v>
      </c>
      <c r="C82" s="55" t="s">
        <v>141</v>
      </c>
      <c r="D82" s="55" t="s">
        <v>142</v>
      </c>
      <c r="E82" s="50">
        <v>3504000000</v>
      </c>
      <c r="F82" s="151"/>
      <c r="G82" s="173">
        <v>43200</v>
      </c>
      <c r="H82" s="142"/>
      <c r="I82" s="74">
        <f>141.05/111.82</f>
        <v>1.2614022536218925</v>
      </c>
      <c r="J82" s="32" t="s">
        <v>171</v>
      </c>
      <c r="K82" s="50">
        <f>+E82/I82</f>
        <v>2777860900.3899322</v>
      </c>
      <c r="L82" s="165" t="s">
        <v>306</v>
      </c>
      <c r="M82" s="54" t="s">
        <v>965</v>
      </c>
    </row>
    <row r="83" spans="1:13" ht="14.25" x14ac:dyDescent="0.2">
      <c r="A83" s="175" t="s">
        <v>529</v>
      </c>
      <c r="B83" s="375" t="s">
        <v>1029</v>
      </c>
      <c r="C83" s="55" t="s">
        <v>141</v>
      </c>
      <c r="D83" s="55" t="s">
        <v>142</v>
      </c>
      <c r="E83" s="50">
        <v>3504000000</v>
      </c>
      <c r="F83" s="151"/>
      <c r="G83" s="173">
        <v>43200</v>
      </c>
      <c r="H83" s="142"/>
      <c r="I83" s="74">
        <f>141.05/111.82</f>
        <v>1.2614022536218925</v>
      </c>
      <c r="J83" s="32" t="s">
        <v>171</v>
      </c>
      <c r="K83" s="50">
        <f>+E83/I83</f>
        <v>2777860900.3899322</v>
      </c>
      <c r="L83" s="165" t="s">
        <v>306</v>
      </c>
      <c r="M83" s="54" t="s">
        <v>965</v>
      </c>
    </row>
    <row r="84" spans="1:13" ht="14.25" x14ac:dyDescent="0.2">
      <c r="A84" s="175" t="s">
        <v>529</v>
      </c>
      <c r="B84" s="375" t="s">
        <v>1029</v>
      </c>
      <c r="C84" s="55" t="s">
        <v>141</v>
      </c>
      <c r="D84" s="55" t="s">
        <v>142</v>
      </c>
      <c r="E84" s="50">
        <v>2336000000</v>
      </c>
      <c r="F84" s="151"/>
      <c r="G84" s="173">
        <v>43196</v>
      </c>
      <c r="H84" s="142"/>
      <c r="I84" s="74">
        <f>141.05/111.82</f>
        <v>1.2614022536218925</v>
      </c>
      <c r="J84" s="32" t="s">
        <v>171</v>
      </c>
      <c r="K84" s="50">
        <f>+E84/I84</f>
        <v>1851907266.9266214</v>
      </c>
      <c r="L84" s="165" t="s">
        <v>306</v>
      </c>
      <c r="M84" s="54" t="s">
        <v>965</v>
      </c>
    </row>
    <row r="85" spans="1:13" ht="14.25" x14ac:dyDescent="0.2">
      <c r="A85" s="175" t="s">
        <v>529</v>
      </c>
      <c r="B85" s="375" t="s">
        <v>1029</v>
      </c>
      <c r="C85" s="55" t="s">
        <v>141</v>
      </c>
      <c r="D85" s="55" t="s">
        <v>142</v>
      </c>
      <c r="E85" s="50">
        <v>18750000000</v>
      </c>
      <c r="F85" s="151"/>
      <c r="G85" s="173">
        <v>43304</v>
      </c>
      <c r="H85" s="142"/>
      <c r="I85" s="74">
        <f>142.28/111.82</f>
        <v>1.272402074763012</v>
      </c>
      <c r="J85" s="32" t="s">
        <v>304</v>
      </c>
      <c r="K85" s="50">
        <f>+E85/I85</f>
        <v>14735908068.597132</v>
      </c>
      <c r="L85" s="165" t="s">
        <v>306</v>
      </c>
      <c r="M85" s="54" t="s">
        <v>964</v>
      </c>
    </row>
    <row r="86" spans="1:13" ht="14.25" x14ac:dyDescent="0.2">
      <c r="A86" s="175" t="s">
        <v>529</v>
      </c>
      <c r="B86" s="375" t="s">
        <v>1029</v>
      </c>
      <c r="C86" s="55" t="s">
        <v>141</v>
      </c>
      <c r="D86" s="55" t="s">
        <v>142</v>
      </c>
      <c r="E86" s="50">
        <v>6250000000</v>
      </c>
      <c r="F86" s="151"/>
      <c r="G86" s="173">
        <v>43326</v>
      </c>
      <c r="H86" s="142"/>
      <c r="I86" s="74">
        <f>142.1/111.82</f>
        <v>1.2707923448399214</v>
      </c>
      <c r="J86" s="32" t="s">
        <v>307</v>
      </c>
      <c r="K86" s="50">
        <f>+E86/I86</f>
        <v>4918191414.4968328</v>
      </c>
      <c r="L86" s="165" t="s">
        <v>306</v>
      </c>
      <c r="M86" s="54" t="s">
        <v>963</v>
      </c>
    </row>
    <row r="87" spans="1:13" ht="14.25" x14ac:dyDescent="0.2">
      <c r="A87" s="175" t="s">
        <v>529</v>
      </c>
      <c r="B87" s="375" t="s">
        <v>1029</v>
      </c>
      <c r="C87" s="55" t="s">
        <v>141</v>
      </c>
      <c r="D87" s="55" t="s">
        <v>142</v>
      </c>
      <c r="E87" s="50">
        <v>1200000000</v>
      </c>
      <c r="F87" s="151"/>
      <c r="G87" s="173">
        <v>43349</v>
      </c>
      <c r="H87" s="142"/>
      <c r="I87" s="74">
        <f>142.27/111.82</f>
        <v>1.2723126453228404</v>
      </c>
      <c r="J87" s="32" t="s">
        <v>308</v>
      </c>
      <c r="K87" s="50">
        <f>+E87/I87</f>
        <v>943164405.70745754</v>
      </c>
      <c r="L87" s="165" t="s">
        <v>306</v>
      </c>
      <c r="M87" s="54" t="s">
        <v>962</v>
      </c>
    </row>
    <row r="88" spans="1:13" ht="14.25" x14ac:dyDescent="0.2">
      <c r="A88" s="175" t="s">
        <v>529</v>
      </c>
      <c r="B88" s="375" t="s">
        <v>1029</v>
      </c>
      <c r="C88" s="55" t="s">
        <v>141</v>
      </c>
      <c r="D88" s="55" t="s">
        <v>142</v>
      </c>
      <c r="E88" s="50">
        <v>31260000000</v>
      </c>
      <c r="F88" s="151"/>
      <c r="G88" s="173">
        <v>43350</v>
      </c>
      <c r="H88" s="142"/>
      <c r="I88" s="74">
        <f>142.27/111.82</f>
        <v>1.2723126453228404</v>
      </c>
      <c r="J88" s="32" t="s">
        <v>308</v>
      </c>
      <c r="K88" s="50">
        <f>+E88/I88</f>
        <v>24569432768.679268</v>
      </c>
      <c r="L88" s="165" t="s">
        <v>306</v>
      </c>
      <c r="M88" s="54" t="s">
        <v>962</v>
      </c>
    </row>
    <row r="89" spans="1:13" ht="14.25" x14ac:dyDescent="0.2">
      <c r="A89" s="175" t="s">
        <v>529</v>
      </c>
      <c r="B89" s="375" t="s">
        <v>1029</v>
      </c>
      <c r="C89" s="55" t="s">
        <v>141</v>
      </c>
      <c r="D89" s="55" t="s">
        <v>142</v>
      </c>
      <c r="E89" s="50">
        <v>774948587</v>
      </c>
      <c r="F89" s="151"/>
      <c r="G89" s="173">
        <v>43367</v>
      </c>
      <c r="H89" s="142"/>
      <c r="I89" s="74">
        <f>142.27/111.82</f>
        <v>1.2723126453228404</v>
      </c>
      <c r="J89" s="32" t="s">
        <v>308</v>
      </c>
      <c r="K89" s="50">
        <f>+E89/I89</f>
        <v>609086602.92640746</v>
      </c>
      <c r="L89" s="165" t="s">
        <v>306</v>
      </c>
      <c r="M89" s="54" t="s">
        <v>961</v>
      </c>
    </row>
    <row r="90" spans="1:13" ht="14.25" x14ac:dyDescent="0.2">
      <c r="A90" s="175" t="s">
        <v>529</v>
      </c>
      <c r="B90" s="375" t="s">
        <v>1029</v>
      </c>
      <c r="C90" s="55" t="s">
        <v>141</v>
      </c>
      <c r="D90" s="55" t="s">
        <v>142</v>
      </c>
      <c r="E90" s="50">
        <v>500000000</v>
      </c>
      <c r="F90" s="151"/>
      <c r="G90" s="173">
        <v>43368</v>
      </c>
      <c r="H90" s="142"/>
      <c r="I90" s="74">
        <f>142.27/111.82</f>
        <v>1.2723126453228404</v>
      </c>
      <c r="J90" s="32" t="s">
        <v>308</v>
      </c>
      <c r="K90" s="50">
        <f>+E90/I90</f>
        <v>392985169.044774</v>
      </c>
      <c r="L90" s="165" t="s">
        <v>306</v>
      </c>
      <c r="M90" s="54" t="s">
        <v>961</v>
      </c>
    </row>
    <row r="91" spans="1:13" ht="14.25" x14ac:dyDescent="0.2">
      <c r="A91" s="175" t="s">
        <v>529</v>
      </c>
      <c r="B91" s="375" t="s">
        <v>1029</v>
      </c>
      <c r="C91" s="55" t="s">
        <v>141</v>
      </c>
      <c r="D91" s="55" t="s">
        <v>142</v>
      </c>
      <c r="E91" s="50">
        <v>15938500</v>
      </c>
      <c r="F91" s="151"/>
      <c r="G91" s="173">
        <v>43369</v>
      </c>
      <c r="H91" s="142"/>
      <c r="I91" s="74">
        <f>142.27/111.82</f>
        <v>1.2723126453228404</v>
      </c>
      <c r="J91" s="32" t="s">
        <v>308</v>
      </c>
      <c r="K91" s="50">
        <f>+E91/I91</f>
        <v>12527188.233640261</v>
      </c>
      <c r="L91" s="165" t="s">
        <v>306</v>
      </c>
      <c r="M91" s="54" t="s">
        <v>961</v>
      </c>
    </row>
    <row r="92" spans="1:13" ht="14.25" x14ac:dyDescent="0.2">
      <c r="A92" s="175" t="s">
        <v>529</v>
      </c>
      <c r="B92" s="375" t="s">
        <v>1029</v>
      </c>
      <c r="C92" s="55" t="s">
        <v>141</v>
      </c>
      <c r="D92" s="55" t="s">
        <v>142</v>
      </c>
      <c r="E92" s="50">
        <v>3849112913</v>
      </c>
      <c r="F92" s="151"/>
      <c r="G92" s="173">
        <v>43370</v>
      </c>
      <c r="H92" s="142"/>
      <c r="I92" s="74">
        <f>142.27/111.82</f>
        <v>1.2723126453228404</v>
      </c>
      <c r="J92" s="32" t="s">
        <v>308</v>
      </c>
      <c r="K92" s="50">
        <f>+E92/I92</f>
        <v>3025288577.5754547</v>
      </c>
      <c r="L92" s="165" t="s">
        <v>306</v>
      </c>
      <c r="M92" s="54" t="s">
        <v>961</v>
      </c>
    </row>
    <row r="93" spans="1:13" ht="14.25" x14ac:dyDescent="0.2">
      <c r="A93" s="175" t="s">
        <v>529</v>
      </c>
      <c r="B93" s="375" t="s">
        <v>1029</v>
      </c>
      <c r="C93" s="55" t="s">
        <v>141</v>
      </c>
      <c r="D93" s="55" t="s">
        <v>142</v>
      </c>
      <c r="E93" s="50">
        <v>22318303139</v>
      </c>
      <c r="F93" s="151"/>
      <c r="G93" s="173">
        <v>43383</v>
      </c>
      <c r="H93" s="142"/>
      <c r="I93" s="74">
        <f>142.5/111.82</f>
        <v>1.2743695224467895</v>
      </c>
      <c r="J93" s="32" t="s">
        <v>314</v>
      </c>
      <c r="K93" s="50">
        <f>+E93/I93</f>
        <v>17513211628.091087</v>
      </c>
      <c r="L93" s="165"/>
      <c r="M93" s="54" t="s">
        <v>960</v>
      </c>
    </row>
    <row r="94" spans="1:13" ht="14.25" x14ac:dyDescent="0.2">
      <c r="A94" s="175" t="s">
        <v>529</v>
      </c>
      <c r="B94" s="375" t="s">
        <v>1029</v>
      </c>
      <c r="C94" s="55" t="s">
        <v>141</v>
      </c>
      <c r="D94" s="55" t="s">
        <v>142</v>
      </c>
      <c r="E94" s="50">
        <v>134904238</v>
      </c>
      <c r="F94" s="151"/>
      <c r="G94" s="173">
        <v>43383</v>
      </c>
      <c r="H94" s="142"/>
      <c r="I94" s="74">
        <f>142.5/111.82</f>
        <v>1.2743695224467895</v>
      </c>
      <c r="J94" s="32" t="s">
        <v>314</v>
      </c>
      <c r="K94" s="50">
        <f>+E94/I94</f>
        <v>105859592.23270175</v>
      </c>
      <c r="L94" s="165"/>
      <c r="M94" s="54" t="s">
        <v>960</v>
      </c>
    </row>
    <row r="95" spans="1:13" ht="14.25" x14ac:dyDescent="0.2">
      <c r="A95" s="175" t="s">
        <v>529</v>
      </c>
      <c r="B95" s="375" t="s">
        <v>1029</v>
      </c>
      <c r="C95" s="55" t="s">
        <v>141</v>
      </c>
      <c r="D95" s="55" t="s">
        <v>142</v>
      </c>
      <c r="E95" s="50">
        <v>22183398901</v>
      </c>
      <c r="F95" s="151"/>
      <c r="G95" s="173">
        <v>43383</v>
      </c>
      <c r="H95" s="142"/>
      <c r="I95" s="74">
        <f>142.5/111.82</f>
        <v>1.2743695224467895</v>
      </c>
      <c r="J95" s="32" t="s">
        <v>314</v>
      </c>
      <c r="K95" s="50">
        <f>+E95/I95</f>
        <v>17407352035.858387</v>
      </c>
      <c r="L95" s="165"/>
      <c r="M95" s="54" t="s">
        <v>960</v>
      </c>
    </row>
    <row r="96" spans="1:13" ht="14.25" x14ac:dyDescent="0.2">
      <c r="A96" s="175" t="s">
        <v>529</v>
      </c>
      <c r="B96" s="375" t="s">
        <v>1029</v>
      </c>
      <c r="C96" s="55" t="s">
        <v>141</v>
      </c>
      <c r="D96" s="55" t="s">
        <v>142</v>
      </c>
      <c r="E96" s="50">
        <v>385000000</v>
      </c>
      <c r="F96" s="151"/>
      <c r="G96" s="173">
        <v>43399</v>
      </c>
      <c r="H96" s="142"/>
      <c r="I96" s="74">
        <f>142.5/111.82</f>
        <v>1.2743695224467895</v>
      </c>
      <c r="J96" s="32" t="s">
        <v>314</v>
      </c>
      <c r="K96" s="50">
        <f>+E96/I96</f>
        <v>302110175.43859649</v>
      </c>
      <c r="L96" s="165" t="s">
        <v>306</v>
      </c>
      <c r="M96" s="54"/>
    </row>
    <row r="97" spans="1:14" ht="14.25" x14ac:dyDescent="0.2">
      <c r="A97" s="175" t="s">
        <v>529</v>
      </c>
      <c r="B97" s="375" t="s">
        <v>1029</v>
      </c>
      <c r="C97" s="55" t="s">
        <v>141</v>
      </c>
      <c r="D97" s="55" t="s">
        <v>142</v>
      </c>
      <c r="E97" s="50">
        <v>14493870000</v>
      </c>
      <c r="F97" s="151"/>
      <c r="G97" s="173">
        <v>43431</v>
      </c>
      <c r="H97" s="142"/>
      <c r="I97" s="74">
        <f>142.67/111.82</f>
        <v>1.2758898229297084</v>
      </c>
      <c r="J97" s="32" t="s">
        <v>319</v>
      </c>
      <c r="K97" s="50">
        <f>+E97/I97</f>
        <v>11359813159.03834</v>
      </c>
      <c r="L97" s="165" t="s">
        <v>306</v>
      </c>
      <c r="M97" s="54" t="s">
        <v>959</v>
      </c>
    </row>
    <row r="98" spans="1:14" ht="14.25" x14ac:dyDescent="0.2">
      <c r="A98" s="175" t="s">
        <v>529</v>
      </c>
      <c r="B98" s="375" t="s">
        <v>1029</v>
      </c>
      <c r="C98" s="55" t="s">
        <v>141</v>
      </c>
      <c r="D98" s="55" t="s">
        <v>142</v>
      </c>
      <c r="E98" s="50">
        <v>4980000000</v>
      </c>
      <c r="F98" s="151"/>
      <c r="G98" s="173">
        <v>43494</v>
      </c>
      <c r="H98" s="142"/>
      <c r="I98" s="74">
        <f>100/78.05</f>
        <v>1.2812299807815504</v>
      </c>
      <c r="J98" s="32" t="s">
        <v>335</v>
      </c>
      <c r="K98" s="50">
        <f>+E98/I98</f>
        <v>3886889999.9999995</v>
      </c>
      <c r="L98" s="165" t="s">
        <v>341</v>
      </c>
      <c r="M98" s="54" t="s">
        <v>958</v>
      </c>
    </row>
    <row r="99" spans="1:14" ht="14.25" x14ac:dyDescent="0.2">
      <c r="A99" s="175" t="s">
        <v>529</v>
      </c>
      <c r="B99" s="375" t="s">
        <v>1029</v>
      </c>
      <c r="C99" s="55" t="s">
        <v>141</v>
      </c>
      <c r="D99" s="55" t="s">
        <v>142</v>
      </c>
      <c r="E99" s="50">
        <v>645000000</v>
      </c>
      <c r="F99" s="151"/>
      <c r="G99" s="173">
        <v>43495</v>
      </c>
      <c r="H99" s="142"/>
      <c r="I99" s="74">
        <f>100/78.05</f>
        <v>1.2812299807815504</v>
      </c>
      <c r="J99" s="32" t="s">
        <v>335</v>
      </c>
      <c r="K99" s="50">
        <f>+E99/I99</f>
        <v>503422499.99999994</v>
      </c>
      <c r="L99" s="165" t="s">
        <v>341</v>
      </c>
      <c r="M99" s="54" t="s">
        <v>958</v>
      </c>
    </row>
    <row r="100" spans="1:14" ht="14.25" x14ac:dyDescent="0.2">
      <c r="A100" s="175" t="s">
        <v>529</v>
      </c>
      <c r="B100" s="375" t="s">
        <v>1029</v>
      </c>
      <c r="C100" s="55" t="s">
        <v>141</v>
      </c>
      <c r="D100" s="55" t="s">
        <v>142</v>
      </c>
      <c r="E100" s="50">
        <v>16875000000</v>
      </c>
      <c r="F100" s="151"/>
      <c r="G100" s="173">
        <v>43497</v>
      </c>
      <c r="H100" s="142"/>
      <c r="I100" s="74">
        <f>100/78.05</f>
        <v>1.2812299807815504</v>
      </c>
      <c r="J100" s="32" t="s">
        <v>335</v>
      </c>
      <c r="K100" s="50">
        <f>+E100/I100</f>
        <v>13170937500</v>
      </c>
      <c r="L100" s="165" t="s">
        <v>341</v>
      </c>
      <c r="M100" s="54" t="s">
        <v>958</v>
      </c>
    </row>
    <row r="101" spans="1:14" ht="14.25" x14ac:dyDescent="0.2">
      <c r="A101" s="175" t="s">
        <v>529</v>
      </c>
      <c r="B101" s="375" t="s">
        <v>1029</v>
      </c>
      <c r="C101" s="55" t="s">
        <v>141</v>
      </c>
      <c r="D101" s="55" t="s">
        <v>142</v>
      </c>
      <c r="E101" s="50">
        <v>9562500000</v>
      </c>
      <c r="F101" s="151"/>
      <c r="G101" s="173">
        <v>43504</v>
      </c>
      <c r="H101" s="142"/>
      <c r="I101" s="74">
        <f>100.6/78.05</f>
        <v>1.2889173606662396</v>
      </c>
      <c r="J101" s="32" t="s">
        <v>337</v>
      </c>
      <c r="K101" s="50">
        <f>+E101/I101</f>
        <v>7419017147.1172962</v>
      </c>
      <c r="L101" s="165" t="s">
        <v>341</v>
      </c>
      <c r="M101" s="54" t="s">
        <v>957</v>
      </c>
    </row>
    <row r="102" spans="1:14" ht="14.25" x14ac:dyDescent="0.2">
      <c r="A102" s="175" t="s">
        <v>529</v>
      </c>
      <c r="B102" s="375" t="s">
        <v>1029</v>
      </c>
      <c r="C102" s="55" t="s">
        <v>141</v>
      </c>
      <c r="D102" s="55" t="s">
        <v>142</v>
      </c>
      <c r="E102" s="50">
        <v>9562500000</v>
      </c>
      <c r="F102" s="151"/>
      <c r="G102" s="173">
        <v>43504</v>
      </c>
      <c r="H102" s="142"/>
      <c r="I102" s="74">
        <f>100.6/78.05</f>
        <v>1.2889173606662396</v>
      </c>
      <c r="J102" s="32" t="s">
        <v>337</v>
      </c>
      <c r="K102" s="50">
        <f>+E102/I102</f>
        <v>7419017147.1172962</v>
      </c>
      <c r="L102" s="165" t="s">
        <v>341</v>
      </c>
      <c r="M102" s="54" t="s">
        <v>957</v>
      </c>
    </row>
    <row r="103" spans="1:14" ht="14.25" x14ac:dyDescent="0.2">
      <c r="A103" s="175" t="s">
        <v>529</v>
      </c>
      <c r="B103" s="375" t="s">
        <v>1029</v>
      </c>
      <c r="C103" s="55" t="s">
        <v>141</v>
      </c>
      <c r="D103" s="55" t="s">
        <v>142</v>
      </c>
      <c r="E103" s="50">
        <v>1600000000</v>
      </c>
      <c r="F103" s="151"/>
      <c r="G103" s="173">
        <v>43518</v>
      </c>
      <c r="H103" s="142"/>
      <c r="I103" s="74">
        <f>100.6/78.05</f>
        <v>1.2889173606662396</v>
      </c>
      <c r="J103" s="32" t="s">
        <v>337</v>
      </c>
      <c r="K103" s="50">
        <f>+E103/I103</f>
        <v>1241351888.6679921</v>
      </c>
      <c r="L103" s="165" t="s">
        <v>341</v>
      </c>
      <c r="M103" s="54" t="s">
        <v>956</v>
      </c>
    </row>
    <row r="104" spans="1:14" ht="14.25" x14ac:dyDescent="0.2">
      <c r="A104" s="175"/>
      <c r="B104" s="375" t="s">
        <v>1029</v>
      </c>
      <c r="C104" s="55" t="s">
        <v>141</v>
      </c>
      <c r="D104" s="55" t="s">
        <v>142</v>
      </c>
      <c r="E104" s="50">
        <v>1500000000</v>
      </c>
      <c r="F104" s="151"/>
      <c r="G104" s="173">
        <v>43521</v>
      </c>
      <c r="H104" s="142"/>
      <c r="I104" s="74">
        <f>100.6/78.05</f>
        <v>1.2889173606662396</v>
      </c>
      <c r="J104" s="32" t="s">
        <v>337</v>
      </c>
      <c r="K104" s="50">
        <f>+E104/I104</f>
        <v>1163767395.6262424</v>
      </c>
      <c r="L104" s="165" t="s">
        <v>341</v>
      </c>
      <c r="M104" s="54" t="s">
        <v>956</v>
      </c>
    </row>
    <row r="105" spans="1:14" ht="14.25" x14ac:dyDescent="0.2">
      <c r="A105" s="175"/>
      <c r="B105" s="375" t="s">
        <v>1029</v>
      </c>
      <c r="C105" s="55" t="s">
        <v>141</v>
      </c>
      <c r="D105" s="55" t="s">
        <v>142</v>
      </c>
      <c r="E105" s="50">
        <v>3275000004.98</v>
      </c>
      <c r="F105" s="151"/>
      <c r="G105" s="173">
        <v>43522</v>
      </c>
      <c r="H105" s="142"/>
      <c r="I105" s="74">
        <f>100.6/78.05</f>
        <v>1.2889173606662396</v>
      </c>
      <c r="J105" s="32" t="s">
        <v>337</v>
      </c>
      <c r="K105" s="50">
        <f>+E105/I105</f>
        <v>2540892150.9810038</v>
      </c>
      <c r="L105" s="165" t="s">
        <v>341</v>
      </c>
      <c r="M105" s="54" t="s">
        <v>956</v>
      </c>
    </row>
    <row r="106" spans="1:14" ht="14.25" x14ac:dyDescent="0.2">
      <c r="A106" s="175" t="s">
        <v>529</v>
      </c>
      <c r="B106" s="375" t="s">
        <v>1029</v>
      </c>
      <c r="C106" s="55" t="s">
        <v>141</v>
      </c>
      <c r="D106" s="55" t="s">
        <v>142</v>
      </c>
      <c r="E106" s="50">
        <v>4500000000</v>
      </c>
      <c r="F106" s="151"/>
      <c r="G106" s="173">
        <v>43544</v>
      </c>
      <c r="H106" s="142"/>
      <c r="I106" s="74">
        <f>101.18/78.05</f>
        <v>1.2963484945547727</v>
      </c>
      <c r="J106" s="32" t="s">
        <v>342</v>
      </c>
      <c r="K106" s="50">
        <f>+E106/I106</f>
        <v>3471288792.2514324</v>
      </c>
      <c r="L106" s="165" t="s">
        <v>341</v>
      </c>
      <c r="M106" s="54" t="s">
        <v>954</v>
      </c>
      <c r="N106" s="167" t="s">
        <v>955</v>
      </c>
    </row>
    <row r="107" spans="1:14" ht="14.25" x14ac:dyDescent="0.2">
      <c r="A107" s="175"/>
      <c r="B107" s="375" t="s">
        <v>1029</v>
      </c>
      <c r="C107" s="55" t="s">
        <v>141</v>
      </c>
      <c r="D107" s="55" t="s">
        <v>142</v>
      </c>
      <c r="E107" s="50">
        <v>13500000000</v>
      </c>
      <c r="F107" s="151"/>
      <c r="G107" s="173">
        <v>43543</v>
      </c>
      <c r="H107" s="142"/>
      <c r="I107" s="74">
        <f>101.18/78.05</f>
        <v>1.2963484945547727</v>
      </c>
      <c r="J107" s="32" t="s">
        <v>342</v>
      </c>
      <c r="K107" s="50">
        <f>+E107/I107</f>
        <v>10413866376.754297</v>
      </c>
      <c r="L107" s="165" t="s">
        <v>341</v>
      </c>
      <c r="M107" s="54" t="s">
        <v>954</v>
      </c>
    </row>
    <row r="108" spans="1:14" ht="14.25" x14ac:dyDescent="0.2">
      <c r="A108" s="175" t="s">
        <v>529</v>
      </c>
      <c r="B108" s="375" t="s">
        <v>1029</v>
      </c>
      <c r="C108" s="55" t="s">
        <v>141</v>
      </c>
      <c r="D108" s="55" t="s">
        <v>142</v>
      </c>
      <c r="E108" s="50">
        <v>13500000000</v>
      </c>
      <c r="F108" s="151"/>
      <c r="G108" s="173">
        <v>43546</v>
      </c>
      <c r="H108" s="142"/>
      <c r="I108" s="74">
        <f>101.18/78.05</f>
        <v>1.2963484945547727</v>
      </c>
      <c r="J108" s="32" t="s">
        <v>342</v>
      </c>
      <c r="K108" s="50">
        <f>+E108/I108</f>
        <v>10413866376.754297</v>
      </c>
      <c r="L108" s="165" t="s">
        <v>341</v>
      </c>
      <c r="M108" s="54" t="s">
        <v>953</v>
      </c>
    </row>
    <row r="109" spans="1:14" ht="14.25" x14ac:dyDescent="0.2">
      <c r="A109" s="175" t="s">
        <v>529</v>
      </c>
      <c r="B109" s="375" t="s">
        <v>1029</v>
      </c>
      <c r="C109" s="55" t="s">
        <v>141</v>
      </c>
      <c r="D109" s="55" t="s">
        <v>142</v>
      </c>
      <c r="E109" s="50">
        <v>8000000000</v>
      </c>
      <c r="F109" s="151"/>
      <c r="G109" s="173">
        <v>43551</v>
      </c>
      <c r="H109" s="142"/>
      <c r="I109" s="74">
        <f>101.18/78.05</f>
        <v>1.2963484945547727</v>
      </c>
      <c r="J109" s="32" t="s">
        <v>342</v>
      </c>
      <c r="K109" s="50">
        <f>+E109/I109</f>
        <v>6171180075.113658</v>
      </c>
      <c r="L109" s="165" t="s">
        <v>341</v>
      </c>
      <c r="M109" s="54"/>
    </row>
    <row r="110" spans="1:14" ht="14.25" x14ac:dyDescent="0.2">
      <c r="A110" s="175" t="s">
        <v>529</v>
      </c>
      <c r="B110" s="375" t="s">
        <v>1029</v>
      </c>
      <c r="C110" s="55" t="s">
        <v>141</v>
      </c>
      <c r="D110" s="55" t="s">
        <v>142</v>
      </c>
      <c r="E110" s="50">
        <v>1245000000</v>
      </c>
      <c r="F110" s="151"/>
      <c r="G110" s="173">
        <v>43558</v>
      </c>
      <c r="H110" s="142"/>
      <c r="I110" s="74">
        <f>101.62/78.05</f>
        <v>1.3019859064702115</v>
      </c>
      <c r="J110" s="32" t="s">
        <v>346</v>
      </c>
      <c r="K110" s="50">
        <f>+E110/I110</f>
        <v>956231548.90769529</v>
      </c>
      <c r="L110" s="165" t="s">
        <v>341</v>
      </c>
      <c r="M110" s="54" t="s">
        <v>952</v>
      </c>
    </row>
    <row r="111" spans="1:14" ht="14.25" x14ac:dyDescent="0.2">
      <c r="A111" s="175"/>
      <c r="B111" s="375" t="s">
        <v>1029</v>
      </c>
      <c r="C111" s="55" t="s">
        <v>141</v>
      </c>
      <c r="D111" s="55" t="s">
        <v>142</v>
      </c>
      <c r="E111" s="50">
        <v>1494000000</v>
      </c>
      <c r="F111" s="151"/>
      <c r="G111" s="173">
        <v>43559</v>
      </c>
      <c r="H111" s="142"/>
      <c r="I111" s="74">
        <f>101.62/78.05</f>
        <v>1.3019859064702115</v>
      </c>
      <c r="J111" s="32" t="s">
        <v>346</v>
      </c>
      <c r="K111" s="50">
        <f>+E111/I111</f>
        <v>1147477858.6892343</v>
      </c>
      <c r="L111" s="165" t="s">
        <v>341</v>
      </c>
      <c r="M111" s="54" t="s">
        <v>952</v>
      </c>
    </row>
    <row r="112" spans="1:14" ht="14.25" x14ac:dyDescent="0.2">
      <c r="A112" s="175"/>
      <c r="B112" s="375" t="s">
        <v>1029</v>
      </c>
      <c r="C112" s="55" t="s">
        <v>141</v>
      </c>
      <c r="D112" s="55" t="s">
        <v>142</v>
      </c>
      <c r="E112" s="50">
        <v>10261000000</v>
      </c>
      <c r="F112" s="151"/>
      <c r="G112" s="173">
        <v>43560</v>
      </c>
      <c r="H112" s="142"/>
      <c r="I112" s="74">
        <f>101.62/78.05</f>
        <v>1.3019859064702115</v>
      </c>
      <c r="J112" s="32" t="s">
        <v>346</v>
      </c>
      <c r="K112" s="50">
        <f>+E112/I112</f>
        <v>7881037689.4312134</v>
      </c>
      <c r="L112" s="165" t="s">
        <v>341</v>
      </c>
      <c r="M112" s="54" t="s">
        <v>952</v>
      </c>
    </row>
    <row r="113" spans="1:14" ht="14.25" x14ac:dyDescent="0.2">
      <c r="A113" s="175"/>
      <c r="B113" s="375" t="s">
        <v>1029</v>
      </c>
      <c r="C113" s="55" t="s">
        <v>141</v>
      </c>
      <c r="D113" s="55" t="s">
        <v>142</v>
      </c>
      <c r="E113" s="50">
        <v>8527000000</v>
      </c>
      <c r="F113" s="151"/>
      <c r="G113" s="173">
        <v>43567</v>
      </c>
      <c r="H113" s="142"/>
      <c r="I113" s="74">
        <f>101.62/78.05</f>
        <v>1.3019859064702115</v>
      </c>
      <c r="J113" s="32" t="s">
        <v>346</v>
      </c>
      <c r="K113" s="50">
        <f>+E113/I113</f>
        <v>6549226038.1814594</v>
      </c>
      <c r="L113" s="165" t="s">
        <v>341</v>
      </c>
      <c r="M113" s="54" t="s">
        <v>951</v>
      </c>
    </row>
    <row r="114" spans="1:14" ht="14.25" x14ac:dyDescent="0.2">
      <c r="A114" s="175" t="s">
        <v>529</v>
      </c>
      <c r="B114" s="375" t="s">
        <v>1029</v>
      </c>
      <c r="C114" s="55" t="s">
        <v>141</v>
      </c>
      <c r="D114" s="55" t="s">
        <v>142</v>
      </c>
      <c r="E114" s="50">
        <v>1494000000</v>
      </c>
      <c r="F114" s="151"/>
      <c r="G114" s="173">
        <v>43570</v>
      </c>
      <c r="H114" s="142"/>
      <c r="I114" s="74">
        <f>101.62/78.05</f>
        <v>1.3019859064702115</v>
      </c>
      <c r="J114" s="32" t="s">
        <v>346</v>
      </c>
      <c r="K114" s="50">
        <f>+E114/I114</f>
        <v>1147477858.6892343</v>
      </c>
      <c r="L114" s="165" t="s">
        <v>341</v>
      </c>
      <c r="M114" s="54" t="s">
        <v>950</v>
      </c>
    </row>
    <row r="115" spans="1:14" ht="14.25" x14ac:dyDescent="0.2">
      <c r="A115" s="175"/>
      <c r="B115" s="375" t="s">
        <v>1029</v>
      </c>
      <c r="C115" s="55" t="s">
        <v>141</v>
      </c>
      <c r="D115" s="55" t="s">
        <v>142</v>
      </c>
      <c r="E115" s="50">
        <v>4500000000</v>
      </c>
      <c r="F115" s="151"/>
      <c r="G115" s="173">
        <v>43579</v>
      </c>
      <c r="H115" s="142"/>
      <c r="I115" s="74">
        <f>101.62/78.05</f>
        <v>1.3019859064702115</v>
      </c>
      <c r="J115" s="32" t="s">
        <v>346</v>
      </c>
      <c r="K115" s="50">
        <f>+E115/I115</f>
        <v>3456258610.5097418</v>
      </c>
      <c r="L115" s="165" t="s">
        <v>341</v>
      </c>
      <c r="M115" s="54" t="s">
        <v>950</v>
      </c>
      <c r="N115" s="235"/>
    </row>
    <row r="116" spans="1:14" ht="14.25" x14ac:dyDescent="0.2">
      <c r="A116" s="175"/>
      <c r="B116" s="375" t="s">
        <v>1029</v>
      </c>
      <c r="C116" s="55" t="s">
        <v>141</v>
      </c>
      <c r="D116" s="55" t="s">
        <v>142</v>
      </c>
      <c r="E116" s="50">
        <v>4500000000</v>
      </c>
      <c r="F116" s="151"/>
      <c r="G116" s="173">
        <v>43579</v>
      </c>
      <c r="H116" s="142"/>
      <c r="I116" s="74">
        <f>101.62/78.05</f>
        <v>1.3019859064702115</v>
      </c>
      <c r="J116" s="32" t="s">
        <v>346</v>
      </c>
      <c r="K116" s="50">
        <f>+E116/I116</f>
        <v>3456258610.5097418</v>
      </c>
      <c r="L116" s="165" t="s">
        <v>341</v>
      </c>
      <c r="M116" s="54" t="s">
        <v>950</v>
      </c>
      <c r="N116" s="235"/>
    </row>
    <row r="117" spans="1:14" ht="14.25" x14ac:dyDescent="0.2">
      <c r="A117" s="175"/>
      <c r="B117" s="375" t="s">
        <v>1029</v>
      </c>
      <c r="C117" s="55" t="s">
        <v>141</v>
      </c>
      <c r="D117" s="55" t="s">
        <v>142</v>
      </c>
      <c r="E117" s="50">
        <v>498000000</v>
      </c>
      <c r="F117" s="151"/>
      <c r="G117" s="173">
        <v>43578</v>
      </c>
      <c r="H117" s="142"/>
      <c r="I117" s="74">
        <f>101.62/78.05</f>
        <v>1.3019859064702115</v>
      </c>
      <c r="J117" s="32" t="s">
        <v>346</v>
      </c>
      <c r="K117" s="50">
        <f>+E117/I117</f>
        <v>382492619.56307811</v>
      </c>
      <c r="L117" s="165" t="s">
        <v>341</v>
      </c>
      <c r="M117" s="54" t="s">
        <v>950</v>
      </c>
    </row>
    <row r="118" spans="1:14" ht="14.25" x14ac:dyDescent="0.2">
      <c r="A118" s="175"/>
      <c r="B118" s="375" t="s">
        <v>1029</v>
      </c>
      <c r="C118" s="55" t="s">
        <v>141</v>
      </c>
      <c r="D118" s="55" t="s">
        <v>142</v>
      </c>
      <c r="E118" s="50">
        <v>740000000</v>
      </c>
      <c r="F118" s="151"/>
      <c r="G118" s="173">
        <v>43579</v>
      </c>
      <c r="H118" s="142"/>
      <c r="I118" s="74">
        <f>101.62/78.05</f>
        <v>1.3019859064702115</v>
      </c>
      <c r="J118" s="32" t="s">
        <v>346</v>
      </c>
      <c r="K118" s="50">
        <f>+E118/I118</f>
        <v>568362527.061602</v>
      </c>
      <c r="L118" s="165" t="s">
        <v>341</v>
      </c>
      <c r="M118" s="54" t="s">
        <v>950</v>
      </c>
    </row>
    <row r="119" spans="1:14" ht="14.25" x14ac:dyDescent="0.2">
      <c r="A119" s="175" t="s">
        <v>529</v>
      </c>
      <c r="B119" s="375" t="s">
        <v>1029</v>
      </c>
      <c r="C119" s="55" t="s">
        <v>141</v>
      </c>
      <c r="D119" s="55" t="s">
        <v>142</v>
      </c>
      <c r="E119" s="50">
        <v>4875000000</v>
      </c>
      <c r="F119" s="151"/>
      <c r="G119" s="173">
        <v>43581</v>
      </c>
      <c r="H119" s="142"/>
      <c r="I119" s="74">
        <f>101.62/78.05</f>
        <v>1.3019859064702115</v>
      </c>
      <c r="J119" s="32" t="s">
        <v>346</v>
      </c>
      <c r="K119" s="50">
        <f>+E119/I119</f>
        <v>3744280161.3855538</v>
      </c>
      <c r="L119" s="165" t="s">
        <v>398</v>
      </c>
      <c r="M119" s="54" t="s">
        <v>949</v>
      </c>
    </row>
    <row r="120" spans="1:14" ht="14.25" x14ac:dyDescent="0.2">
      <c r="A120" s="175" t="s">
        <v>529</v>
      </c>
      <c r="B120" s="375" t="s">
        <v>1029</v>
      </c>
      <c r="C120" s="55" t="s">
        <v>141</v>
      </c>
      <c r="D120" s="55" t="s">
        <v>142</v>
      </c>
      <c r="E120" s="50">
        <v>3366000000</v>
      </c>
      <c r="F120" s="151"/>
      <c r="G120" s="173">
        <v>43591</v>
      </c>
      <c r="H120" s="142"/>
      <c r="I120" s="74">
        <f>102.12/78.05</f>
        <v>1.3083920563741192</v>
      </c>
      <c r="J120" s="32" t="s">
        <v>400</v>
      </c>
      <c r="K120" s="50">
        <f>+E120/I120</f>
        <v>2572623384.253819</v>
      </c>
      <c r="L120" s="165" t="s">
        <v>398</v>
      </c>
      <c r="M120" s="54" t="s">
        <v>948</v>
      </c>
    </row>
    <row r="121" spans="1:14" ht="14.25" x14ac:dyDescent="0.2">
      <c r="A121" s="175"/>
      <c r="B121" s="375" t="s">
        <v>1029</v>
      </c>
      <c r="C121" s="55" t="s">
        <v>141</v>
      </c>
      <c r="D121" s="55" t="s">
        <v>142</v>
      </c>
      <c r="E121" s="50">
        <v>4625000000</v>
      </c>
      <c r="F121" s="151"/>
      <c r="G121" s="173">
        <v>44120</v>
      </c>
      <c r="H121" s="142"/>
      <c r="I121" s="74">
        <f>[26]IPC!$S$18/78.05</f>
        <v>1.3490070467648945</v>
      </c>
      <c r="J121" s="32" t="s">
        <v>822</v>
      </c>
      <c r="K121" s="50">
        <f>+E121/I121</f>
        <v>3428447620.8566813</v>
      </c>
      <c r="L121" s="165" t="s">
        <v>341</v>
      </c>
      <c r="M121" s="54" t="s">
        <v>1001</v>
      </c>
    </row>
    <row r="122" spans="1:14" ht="14.25" x14ac:dyDescent="0.2">
      <c r="A122" s="175"/>
      <c r="B122" s="375" t="s">
        <v>1029</v>
      </c>
      <c r="C122" s="55" t="s">
        <v>141</v>
      </c>
      <c r="D122" s="55" t="s">
        <v>142</v>
      </c>
      <c r="E122" s="50">
        <v>6937500000</v>
      </c>
      <c r="F122" s="151"/>
      <c r="G122" s="173">
        <v>44124</v>
      </c>
      <c r="H122" s="142"/>
      <c r="I122" s="74">
        <f>[26]IPC!$S$18/78.05</f>
        <v>1.3490070467648945</v>
      </c>
      <c r="J122" s="32" t="s">
        <v>822</v>
      </c>
      <c r="K122" s="50">
        <f>+E122/I122</f>
        <v>5142671431.2850218</v>
      </c>
      <c r="L122" s="165" t="s">
        <v>341</v>
      </c>
      <c r="M122" s="54" t="s">
        <v>1001</v>
      </c>
    </row>
    <row r="123" spans="1:14" ht="14.25" x14ac:dyDescent="0.2">
      <c r="A123" s="175"/>
      <c r="B123" s="375" t="s">
        <v>1029</v>
      </c>
      <c r="C123" s="55" t="s">
        <v>141</v>
      </c>
      <c r="D123" s="55"/>
      <c r="E123" s="50">
        <v>6937500000</v>
      </c>
      <c r="F123" s="151"/>
      <c r="G123" s="173">
        <v>44124</v>
      </c>
      <c r="H123" s="142"/>
      <c r="I123" s="74">
        <f>[26]IPC!$S$18/78.05</f>
        <v>1.3490070467648945</v>
      </c>
      <c r="J123" s="32" t="s">
        <v>822</v>
      </c>
      <c r="K123" s="50">
        <f>+E123/I123</f>
        <v>5142671431.2850218</v>
      </c>
      <c r="L123" s="165" t="s">
        <v>341</v>
      </c>
      <c r="M123" s="54" t="s">
        <v>1001</v>
      </c>
    </row>
    <row r="124" spans="1:14" ht="15" x14ac:dyDescent="0.2">
      <c r="A124" s="175" t="s">
        <v>529</v>
      </c>
      <c r="B124" s="375"/>
      <c r="C124" s="55"/>
      <c r="D124" s="115" t="s">
        <v>172</v>
      </c>
      <c r="E124" s="247">
        <f>SUM(E15:E123)</f>
        <v>402847324524.47998</v>
      </c>
      <c r="F124" s="151"/>
      <c r="G124" s="173"/>
      <c r="H124" s="142"/>
      <c r="I124" s="50"/>
      <c r="J124" s="50"/>
      <c r="K124" s="247">
        <f>SUM(K15:K123)</f>
        <v>322731687608.57544</v>
      </c>
      <c r="L124" s="165"/>
      <c r="M124" s="54"/>
    </row>
    <row r="125" spans="1:14" ht="14.25" x14ac:dyDescent="0.2">
      <c r="A125" s="175" t="s">
        <v>529</v>
      </c>
      <c r="B125" s="375" t="s">
        <v>1027</v>
      </c>
      <c r="C125" s="55" t="s">
        <v>141</v>
      </c>
      <c r="D125" s="55" t="s">
        <v>173</v>
      </c>
      <c r="E125" s="50">
        <v>578332629.87</v>
      </c>
      <c r="F125" s="151"/>
      <c r="G125" s="173">
        <v>42278</v>
      </c>
      <c r="H125" s="142"/>
      <c r="I125" s="39">
        <f>123.78/111.82</f>
        <v>1.1069576104453587</v>
      </c>
      <c r="J125" s="32" t="s">
        <v>174</v>
      </c>
      <c r="K125" s="50">
        <f>+E125/I125</f>
        <v>522452372.53242362</v>
      </c>
      <c r="L125" s="165" t="s">
        <v>1028</v>
      </c>
      <c r="M125" s="54"/>
    </row>
    <row r="126" spans="1:14" ht="14.25" x14ac:dyDescent="0.2">
      <c r="A126" s="175" t="s">
        <v>529</v>
      </c>
      <c r="B126" s="375" t="s">
        <v>1027</v>
      </c>
      <c r="C126" s="55" t="s">
        <v>141</v>
      </c>
      <c r="D126" s="55" t="s">
        <v>173</v>
      </c>
      <c r="E126" s="50">
        <v>985800898.62</v>
      </c>
      <c r="F126" s="151"/>
      <c r="G126" s="173">
        <v>42369</v>
      </c>
      <c r="H126" s="142"/>
      <c r="I126" s="74">
        <f>125.37/111.82</f>
        <v>1.1211768914326596</v>
      </c>
      <c r="J126" s="32" t="s">
        <v>166</v>
      </c>
      <c r="K126" s="50">
        <v>808679767</v>
      </c>
      <c r="L126" s="165" t="s">
        <v>1028</v>
      </c>
      <c r="M126" s="54"/>
    </row>
    <row r="127" spans="1:14" ht="14.25" x14ac:dyDescent="0.2">
      <c r="A127" s="175"/>
      <c r="B127" s="375" t="s">
        <v>1027</v>
      </c>
      <c r="C127" s="55" t="s">
        <v>141</v>
      </c>
      <c r="D127" s="55" t="s">
        <v>173</v>
      </c>
      <c r="E127" s="50">
        <v>-79127831.329999998</v>
      </c>
      <c r="F127" s="151"/>
      <c r="G127" s="173">
        <v>42614</v>
      </c>
      <c r="H127" s="142"/>
      <c r="I127" s="74"/>
      <c r="J127" s="32"/>
      <c r="K127" s="50">
        <v>-66637100</v>
      </c>
      <c r="L127" s="165" t="s">
        <v>1026</v>
      </c>
      <c r="M127" s="54"/>
    </row>
    <row r="128" spans="1:14" ht="15" x14ac:dyDescent="0.2">
      <c r="A128" s="175" t="s">
        <v>529</v>
      </c>
      <c r="B128" s="369" t="s">
        <v>830</v>
      </c>
      <c r="C128" s="56"/>
      <c r="D128" s="56"/>
      <c r="E128" s="246">
        <f>+E124+E125+E126+E127</f>
        <v>404332330221.63995</v>
      </c>
      <c r="F128" s="151"/>
      <c r="G128" s="173"/>
      <c r="H128" s="142"/>
      <c r="I128" s="50"/>
      <c r="J128" s="50"/>
      <c r="K128" s="245">
        <f>+K124+K125+K126+K127</f>
        <v>323996182648.10785</v>
      </c>
      <c r="L128" s="170"/>
      <c r="M128" s="54"/>
    </row>
    <row r="129" spans="1:18" ht="14.25" x14ac:dyDescent="0.2">
      <c r="A129" s="175" t="s">
        <v>529</v>
      </c>
      <c r="B129" s="375"/>
      <c r="C129" s="55"/>
      <c r="D129" s="55"/>
      <c r="E129" s="157"/>
      <c r="F129" s="162"/>
      <c r="G129" s="173"/>
      <c r="H129" s="142"/>
      <c r="I129" s="50"/>
      <c r="J129" s="50"/>
      <c r="K129" s="157"/>
      <c r="L129" s="170"/>
      <c r="M129" s="54"/>
    </row>
    <row r="130" spans="1:18" s="177" customFormat="1" ht="15" x14ac:dyDescent="0.25">
      <c r="A130" s="177" t="s">
        <v>473</v>
      </c>
      <c r="B130" s="373" t="s">
        <v>175</v>
      </c>
      <c r="C130" s="373"/>
      <c r="D130" s="373"/>
      <c r="E130" s="373"/>
      <c r="F130" s="373"/>
      <c r="G130" s="182"/>
      <c r="H130" s="373"/>
      <c r="I130" s="373"/>
      <c r="J130" s="373"/>
      <c r="K130" s="373"/>
      <c r="L130" s="373"/>
      <c r="M130" s="179"/>
      <c r="O130" s="178"/>
      <c r="P130" s="178"/>
      <c r="Q130" s="178"/>
      <c r="R130" s="178"/>
    </row>
    <row r="131" spans="1:18" s="177" customFormat="1" ht="15" x14ac:dyDescent="0.25">
      <c r="A131" s="181" t="s">
        <v>529</v>
      </c>
      <c r="B131" s="138" t="s">
        <v>129</v>
      </c>
      <c r="C131" s="139" t="s">
        <v>130</v>
      </c>
      <c r="D131" s="139" t="s">
        <v>131</v>
      </c>
      <c r="E131" s="140" t="s">
        <v>132</v>
      </c>
      <c r="F131" s="140"/>
      <c r="G131" s="244"/>
      <c r="H131" s="140" t="s">
        <v>133</v>
      </c>
      <c r="I131" s="140"/>
      <c r="J131" s="140"/>
      <c r="K131" s="140"/>
      <c r="L131" s="140" t="s">
        <v>96</v>
      </c>
      <c r="M131" s="179"/>
      <c r="O131" s="178"/>
      <c r="P131" s="178"/>
      <c r="Q131" s="178"/>
      <c r="R131" s="178"/>
    </row>
    <row r="132" spans="1:18" s="177" customFormat="1" ht="45" x14ac:dyDescent="0.25">
      <c r="A132" s="181" t="s">
        <v>529</v>
      </c>
      <c r="B132" s="138"/>
      <c r="C132" s="139"/>
      <c r="D132" s="139"/>
      <c r="E132" s="141" t="s">
        <v>134</v>
      </c>
      <c r="F132" s="141" t="s">
        <v>135</v>
      </c>
      <c r="G132" s="180" t="s">
        <v>607</v>
      </c>
      <c r="H132" s="141" t="s">
        <v>136</v>
      </c>
      <c r="I132" s="141" t="s">
        <v>137</v>
      </c>
      <c r="J132" s="141" t="s">
        <v>138</v>
      </c>
      <c r="K132" s="141" t="s">
        <v>139</v>
      </c>
      <c r="L132" s="140"/>
      <c r="M132" s="179"/>
      <c r="O132" s="178"/>
      <c r="P132" s="178"/>
      <c r="Q132" s="178"/>
      <c r="R132" s="178"/>
    </row>
    <row r="133" spans="1:18" ht="14.25" x14ac:dyDescent="0.2">
      <c r="A133" s="175" t="s">
        <v>529</v>
      </c>
      <c r="B133" s="375" t="s">
        <v>140</v>
      </c>
      <c r="C133" s="371" t="s">
        <v>175</v>
      </c>
      <c r="D133" s="55" t="s">
        <v>142</v>
      </c>
      <c r="E133" s="209">
        <v>1792505269</v>
      </c>
      <c r="F133" s="146" t="s">
        <v>143</v>
      </c>
      <c r="G133" s="193">
        <v>42278</v>
      </c>
      <c r="H133" s="160">
        <v>1630902678</v>
      </c>
      <c r="I133" s="39">
        <f>123.78/111.82</f>
        <v>1.1069576104453587</v>
      </c>
      <c r="J133" s="75" t="s">
        <v>151</v>
      </c>
      <c r="K133" s="243">
        <f>+E133/I133</f>
        <v>1619307959.1176279</v>
      </c>
      <c r="L133" s="170" t="s">
        <v>176</v>
      </c>
      <c r="M133" s="54"/>
      <c r="N133" s="1" t="s">
        <v>936</v>
      </c>
    </row>
    <row r="134" spans="1:18" ht="14.25" x14ac:dyDescent="0.2">
      <c r="A134" s="175" t="s">
        <v>529</v>
      </c>
      <c r="B134" s="375" t="s">
        <v>144</v>
      </c>
      <c r="C134" s="371" t="s">
        <v>175</v>
      </c>
      <c r="D134" s="55" t="s">
        <v>142</v>
      </c>
      <c r="E134" s="209">
        <v>1805267351.8</v>
      </c>
      <c r="F134" s="146" t="s">
        <v>143</v>
      </c>
      <c r="G134" s="193">
        <v>42311</v>
      </c>
      <c r="H134" s="160">
        <v>1630902678</v>
      </c>
      <c r="I134" s="74">
        <f>124.62/111.82</f>
        <v>1.1144696834197818</v>
      </c>
      <c r="J134" s="76" t="s">
        <v>152</v>
      </c>
      <c r="K134" s="209">
        <f>+E134/I134</f>
        <v>1619844288.8643556</v>
      </c>
      <c r="L134" s="170" t="s">
        <v>176</v>
      </c>
      <c r="M134" s="54"/>
      <c r="N134" s="1" t="s">
        <v>936</v>
      </c>
    </row>
    <row r="135" spans="1:18" ht="14.25" x14ac:dyDescent="0.2">
      <c r="A135" s="175" t="s">
        <v>529</v>
      </c>
      <c r="B135" s="375" t="s">
        <v>144</v>
      </c>
      <c r="C135" s="371" t="s">
        <v>175</v>
      </c>
      <c r="D135" s="55" t="s">
        <v>142</v>
      </c>
      <c r="E135" s="209">
        <v>12313884</v>
      </c>
      <c r="F135" s="146" t="s">
        <v>143</v>
      </c>
      <c r="G135" s="193">
        <v>42367</v>
      </c>
      <c r="H135" s="160">
        <v>1630902678</v>
      </c>
      <c r="I135" s="74">
        <f>125.37/111.82</f>
        <v>1.1211768914326596</v>
      </c>
      <c r="J135" s="76" t="s">
        <v>153</v>
      </c>
      <c r="K135" s="209">
        <f>+E135/I135</f>
        <v>10982998.395788467</v>
      </c>
      <c r="L135" s="170" t="s">
        <v>176</v>
      </c>
      <c r="M135" s="54"/>
      <c r="N135" s="1" t="s">
        <v>936</v>
      </c>
    </row>
    <row r="136" spans="1:18" ht="14.25" x14ac:dyDescent="0.2">
      <c r="A136" s="175" t="s">
        <v>529</v>
      </c>
      <c r="B136" s="375" t="s">
        <v>145</v>
      </c>
      <c r="C136" s="371" t="s">
        <v>175</v>
      </c>
      <c r="D136" s="55" t="s">
        <v>142</v>
      </c>
      <c r="E136" s="209">
        <v>1828541334</v>
      </c>
      <c r="F136" s="242" t="s">
        <v>615</v>
      </c>
      <c r="G136" s="193">
        <v>42367</v>
      </c>
      <c r="H136" s="160">
        <v>1630902678</v>
      </c>
      <c r="I136" s="74">
        <f>125.37/111.82</f>
        <v>1.1211768914326596</v>
      </c>
      <c r="J136" s="76" t="s">
        <v>153</v>
      </c>
      <c r="K136" s="209">
        <f>+E136/I136</f>
        <v>1630912434.9356306</v>
      </c>
      <c r="L136" s="170" t="s">
        <v>176</v>
      </c>
      <c r="M136" s="54"/>
      <c r="N136" s="1" t="s">
        <v>936</v>
      </c>
    </row>
    <row r="137" spans="1:18" ht="14.25" x14ac:dyDescent="0.2">
      <c r="A137" s="175" t="s">
        <v>529</v>
      </c>
      <c r="B137" s="375" t="s">
        <v>146</v>
      </c>
      <c r="C137" s="371" t="s">
        <v>175</v>
      </c>
      <c r="D137" s="55" t="s">
        <v>142</v>
      </c>
      <c r="E137" s="209">
        <v>1839906750</v>
      </c>
      <c r="F137" s="242" t="s">
        <v>616</v>
      </c>
      <c r="G137" s="193">
        <v>42387</v>
      </c>
      <c r="H137" s="160">
        <v>1630902678</v>
      </c>
      <c r="I137" s="74">
        <f>126.15/111.82</f>
        <v>1.1281523877660526</v>
      </c>
      <c r="J137" s="76" t="s">
        <v>154</v>
      </c>
      <c r="K137" s="209">
        <f>+E137/I137</f>
        <v>1630902677.6456599</v>
      </c>
      <c r="L137" s="170" t="s">
        <v>176</v>
      </c>
      <c r="M137" s="54"/>
      <c r="N137" s="1" t="s">
        <v>936</v>
      </c>
    </row>
    <row r="138" spans="1:18" ht="14.25" x14ac:dyDescent="0.2">
      <c r="A138" s="175" t="s">
        <v>529</v>
      </c>
      <c r="B138" s="375" t="s">
        <v>146</v>
      </c>
      <c r="C138" s="371" t="s">
        <v>175</v>
      </c>
      <c r="D138" s="55" t="s">
        <v>142</v>
      </c>
      <c r="E138" s="209">
        <v>13080610</v>
      </c>
      <c r="F138" s="242" t="s">
        <v>616</v>
      </c>
      <c r="G138" s="193">
        <v>42395</v>
      </c>
      <c r="H138" s="160">
        <v>0</v>
      </c>
      <c r="I138" s="74">
        <f>126.15/111.82</f>
        <v>1.1281523877660526</v>
      </c>
      <c r="J138" s="76" t="s">
        <v>154</v>
      </c>
      <c r="K138" s="243">
        <f>+E138/I138</f>
        <v>11594719.066191042</v>
      </c>
      <c r="L138" s="170" t="s">
        <v>176</v>
      </c>
      <c r="M138" s="54"/>
      <c r="N138" s="1" t="s">
        <v>936</v>
      </c>
    </row>
    <row r="139" spans="1:18" ht="14.25" x14ac:dyDescent="0.2">
      <c r="A139" s="175" t="s">
        <v>529</v>
      </c>
      <c r="B139" s="375" t="s">
        <v>147</v>
      </c>
      <c r="C139" s="371" t="s">
        <v>175</v>
      </c>
      <c r="D139" s="55" t="s">
        <v>142</v>
      </c>
      <c r="E139" s="209">
        <v>1863680417</v>
      </c>
      <c r="F139" s="242" t="s">
        <v>617</v>
      </c>
      <c r="G139" s="193">
        <v>42416</v>
      </c>
      <c r="H139" s="160">
        <v>1630902678</v>
      </c>
      <c r="I139" s="74">
        <f>127.78/111.82</f>
        <v>1.1427293865140404</v>
      </c>
      <c r="J139" s="76" t="s">
        <v>155</v>
      </c>
      <c r="K139" s="209">
        <f>+E139/I139</f>
        <v>1630902678.266865</v>
      </c>
      <c r="L139" s="170" t="s">
        <v>177</v>
      </c>
      <c r="M139" s="54"/>
      <c r="N139" s="1" t="s">
        <v>936</v>
      </c>
    </row>
    <row r="140" spans="1:18" ht="14.25" x14ac:dyDescent="0.2">
      <c r="A140" s="175" t="s">
        <v>529</v>
      </c>
      <c r="B140" s="375" t="s">
        <v>148</v>
      </c>
      <c r="C140" s="371" t="s">
        <v>175</v>
      </c>
      <c r="D140" s="55" t="s">
        <v>142</v>
      </c>
      <c r="E140" s="209">
        <v>1887454082.99</v>
      </c>
      <c r="F140" s="242" t="s">
        <v>618</v>
      </c>
      <c r="G140" s="193">
        <v>42445</v>
      </c>
      <c r="H140" s="160">
        <v>1630902678</v>
      </c>
      <c r="I140" s="74">
        <f>129.41/111.82</f>
        <v>1.1573063852620282</v>
      </c>
      <c r="J140" s="76" t="s">
        <v>156</v>
      </c>
      <c r="K140" s="209">
        <f>+E140/I140</f>
        <v>1630902677.9997048</v>
      </c>
      <c r="L140" s="170" t="s">
        <v>176</v>
      </c>
      <c r="M140" s="54"/>
      <c r="N140" s="1" t="s">
        <v>936</v>
      </c>
    </row>
    <row r="141" spans="1:18" ht="14.25" x14ac:dyDescent="0.2">
      <c r="A141" s="175" t="s">
        <v>529</v>
      </c>
      <c r="B141" s="375" t="s">
        <v>149</v>
      </c>
      <c r="C141" s="371" t="s">
        <v>175</v>
      </c>
      <c r="D141" s="55" t="s">
        <v>142</v>
      </c>
      <c r="E141" s="209">
        <v>1905247870</v>
      </c>
      <c r="F141" s="242" t="s">
        <v>619</v>
      </c>
      <c r="G141" s="193">
        <v>42474</v>
      </c>
      <c r="H141" s="160">
        <v>1630902678</v>
      </c>
      <c r="I141" s="74">
        <f>130.63/111.82</f>
        <v>1.1682167769629763</v>
      </c>
      <c r="J141" s="76" t="s">
        <v>157</v>
      </c>
      <c r="K141" s="209">
        <f>+E141/I141</f>
        <v>1630902677.9713693</v>
      </c>
      <c r="L141" s="170" t="s">
        <v>177</v>
      </c>
      <c r="M141" s="54"/>
      <c r="N141" s="1" t="s">
        <v>936</v>
      </c>
    </row>
    <row r="142" spans="1:18" ht="14.25" x14ac:dyDescent="0.2">
      <c r="A142" s="175" t="s">
        <v>529</v>
      </c>
      <c r="B142" s="375" t="s">
        <v>150</v>
      </c>
      <c r="C142" s="371" t="s">
        <v>175</v>
      </c>
      <c r="D142" s="55" t="s">
        <v>142</v>
      </c>
      <c r="E142" s="209">
        <v>1914728166</v>
      </c>
      <c r="F142" s="242" t="s">
        <v>620</v>
      </c>
      <c r="G142" s="193">
        <v>42506</v>
      </c>
      <c r="H142" s="160">
        <v>1630902678</v>
      </c>
      <c r="I142" s="74">
        <f>131.28/111.82</f>
        <v>1.1740296905741372</v>
      </c>
      <c r="J142" s="76" t="s">
        <v>158</v>
      </c>
      <c r="K142" s="209">
        <f>+E142/I142</f>
        <v>1630902677.6517365</v>
      </c>
      <c r="L142" s="170" t="s">
        <v>177</v>
      </c>
      <c r="M142" s="54"/>
      <c r="N142" s="1" t="s">
        <v>936</v>
      </c>
    </row>
    <row r="143" spans="1:18" ht="14.25" x14ac:dyDescent="0.2">
      <c r="A143" s="175" t="s">
        <v>529</v>
      </c>
      <c r="B143" s="375" t="s">
        <v>178</v>
      </c>
      <c r="C143" s="371" t="s">
        <v>175</v>
      </c>
      <c r="D143" s="55" t="s">
        <v>142</v>
      </c>
      <c r="E143" s="209">
        <v>1924500164</v>
      </c>
      <c r="F143" s="242" t="s">
        <v>621</v>
      </c>
      <c r="G143" s="193">
        <v>42535</v>
      </c>
      <c r="H143" s="160">
        <v>1630902678</v>
      </c>
      <c r="I143" s="74">
        <f>131.95/111.82</f>
        <v>1.1800214630656412</v>
      </c>
      <c r="J143" s="76" t="s">
        <v>159</v>
      </c>
      <c r="K143" s="209">
        <f>+E143/I143</f>
        <v>1630902677.8209929</v>
      </c>
      <c r="L143" s="170" t="s">
        <v>177</v>
      </c>
      <c r="M143" s="54"/>
      <c r="N143" s="1" t="s">
        <v>936</v>
      </c>
    </row>
    <row r="144" spans="1:18" ht="14.25" x14ac:dyDescent="0.2">
      <c r="A144" s="175" t="s">
        <v>529</v>
      </c>
      <c r="B144" s="375" t="s">
        <v>179</v>
      </c>
      <c r="C144" s="371" t="s">
        <v>175</v>
      </c>
      <c r="D144" s="55" t="s">
        <v>142</v>
      </c>
      <c r="E144" s="209">
        <v>1933737765</v>
      </c>
      <c r="F144" s="242" t="s">
        <v>622</v>
      </c>
      <c r="G144" s="193">
        <v>42558</v>
      </c>
      <c r="H144" s="160">
        <v>1630902678</v>
      </c>
      <c r="I144" s="74">
        <f>132.58/111.82</f>
        <v>1.1856555177964587</v>
      </c>
      <c r="J144" s="76" t="s">
        <v>160</v>
      </c>
      <c r="K144" s="209">
        <f>+E144/I144</f>
        <v>1630944010.2753053</v>
      </c>
      <c r="L144" s="170" t="s">
        <v>177</v>
      </c>
      <c r="M144" s="54"/>
      <c r="N144" s="1" t="s">
        <v>936</v>
      </c>
    </row>
    <row r="145" spans="1:18" ht="14.25" x14ac:dyDescent="0.2">
      <c r="A145" s="175" t="s">
        <v>529</v>
      </c>
      <c r="B145" s="375" t="s">
        <v>180</v>
      </c>
      <c r="C145" s="371" t="s">
        <v>175</v>
      </c>
      <c r="D145" s="55" t="s">
        <v>142</v>
      </c>
      <c r="E145" s="209">
        <v>1946104392</v>
      </c>
      <c r="F145" s="242" t="s">
        <v>623</v>
      </c>
      <c r="G145" s="193">
        <v>42593</v>
      </c>
      <c r="H145" s="160">
        <v>1630902678</v>
      </c>
      <c r="I145" s="74">
        <f>133.27/111.82</f>
        <v>1.1918261491683064</v>
      </c>
      <c r="J145" s="76" t="s">
        <v>161</v>
      </c>
      <c r="K145" s="209">
        <f>+E145/I145</f>
        <v>1632876064.4814284</v>
      </c>
      <c r="L145" s="170" t="s">
        <v>176</v>
      </c>
      <c r="M145" s="54"/>
      <c r="N145" s="1" t="s">
        <v>936</v>
      </c>
    </row>
    <row r="146" spans="1:18" ht="14.25" x14ac:dyDescent="0.2">
      <c r="A146" s="175" t="s">
        <v>529</v>
      </c>
      <c r="B146" s="375" t="s">
        <v>181</v>
      </c>
      <c r="C146" s="371" t="s">
        <v>175</v>
      </c>
      <c r="D146" s="55" t="s">
        <v>142</v>
      </c>
      <c r="E146" s="209">
        <v>1937626728</v>
      </c>
      <c r="F146" s="242" t="s">
        <v>624</v>
      </c>
      <c r="G146" s="193">
        <v>42626</v>
      </c>
      <c r="H146" s="160">
        <v>1630902678</v>
      </c>
      <c r="I146" s="74">
        <f>132.85/111.82</f>
        <v>1.1880701126810946</v>
      </c>
      <c r="J146" s="76" t="s">
        <v>162</v>
      </c>
      <c r="K146" s="209">
        <f>+E146/I146</f>
        <v>1630902677.6436582</v>
      </c>
      <c r="L146" s="170" t="s">
        <v>177</v>
      </c>
      <c r="M146" s="54"/>
      <c r="N146" s="1" t="s">
        <v>936</v>
      </c>
    </row>
    <row r="147" spans="1:18" ht="14.25" x14ac:dyDescent="0.2">
      <c r="A147" s="175" t="s">
        <v>529</v>
      </c>
      <c r="B147" s="375" t="s">
        <v>182</v>
      </c>
      <c r="C147" s="371" t="s">
        <v>175</v>
      </c>
      <c r="D147" s="55" t="s">
        <v>142</v>
      </c>
      <c r="E147" s="209">
        <v>1936605773</v>
      </c>
      <c r="F147" s="242" t="s">
        <v>625</v>
      </c>
      <c r="G147" s="193">
        <v>42650</v>
      </c>
      <c r="H147" s="160">
        <v>1630902678</v>
      </c>
      <c r="I147" s="74">
        <f>132.78/111.82</f>
        <v>1.1874441065998929</v>
      </c>
      <c r="J147" s="76" t="s">
        <v>163</v>
      </c>
      <c r="K147" s="209">
        <f>+E147/I147</f>
        <v>1630902677.6386502</v>
      </c>
      <c r="L147" s="170" t="s">
        <v>177</v>
      </c>
      <c r="M147" s="54"/>
      <c r="N147" s="1" t="s">
        <v>936</v>
      </c>
    </row>
    <row r="148" spans="1:18" ht="15" x14ac:dyDescent="0.25">
      <c r="A148" s="175" t="s">
        <v>529</v>
      </c>
      <c r="B148" s="375" t="s">
        <v>183</v>
      </c>
      <c r="C148" s="371" t="s">
        <v>175</v>
      </c>
      <c r="D148" s="55" t="s">
        <v>142</v>
      </c>
      <c r="E148" s="117">
        <v>2008510175</v>
      </c>
      <c r="F148" s="242" t="s">
        <v>626</v>
      </c>
      <c r="G148" s="193">
        <v>42913</v>
      </c>
      <c r="H148" s="160">
        <v>1630902678</v>
      </c>
      <c r="I148" s="74">
        <f>137.71/111.82</f>
        <v>1.2315328206045431</v>
      </c>
      <c r="J148" s="76" t="s">
        <v>184</v>
      </c>
      <c r="K148" s="209">
        <f>+E148/I148</f>
        <v>1630902677.8629003</v>
      </c>
      <c r="L148" s="170" t="s">
        <v>177</v>
      </c>
      <c r="M148" s="54"/>
      <c r="N148" s="1" t="s">
        <v>936</v>
      </c>
    </row>
    <row r="149" spans="1:18" ht="15" x14ac:dyDescent="0.25">
      <c r="A149" s="175" t="s">
        <v>529</v>
      </c>
      <c r="B149" s="375" t="s">
        <v>185</v>
      </c>
      <c r="C149" s="371" t="s">
        <v>175</v>
      </c>
      <c r="D149" s="55" t="s">
        <v>142</v>
      </c>
      <c r="E149" s="117">
        <v>2010843787</v>
      </c>
      <c r="F149" s="242" t="s">
        <v>627</v>
      </c>
      <c r="G149" s="193">
        <v>42942</v>
      </c>
      <c r="H149" s="160">
        <v>1630902678</v>
      </c>
      <c r="I149" s="74">
        <f>137.87/111.82</f>
        <v>1.2329636916472904</v>
      </c>
      <c r="J149" s="76" t="s">
        <v>186</v>
      </c>
      <c r="K149" s="209">
        <f>+E149/I149</f>
        <v>1630902678.3371291</v>
      </c>
      <c r="L149" s="170" t="s">
        <v>177</v>
      </c>
      <c r="M149" s="54"/>
      <c r="N149" s="1" t="s">
        <v>936</v>
      </c>
    </row>
    <row r="150" spans="1:18" ht="15" x14ac:dyDescent="0.25">
      <c r="A150" s="175" t="s">
        <v>529</v>
      </c>
      <c r="B150" s="375" t="s">
        <v>187</v>
      </c>
      <c r="C150" s="371" t="s">
        <v>175</v>
      </c>
      <c r="D150" s="55" t="s">
        <v>142</v>
      </c>
      <c r="E150" s="117">
        <f>2010843787+1750209</f>
        <v>2012593996</v>
      </c>
      <c r="F150" s="242" t="s">
        <v>628</v>
      </c>
      <c r="G150" s="193">
        <v>42984</v>
      </c>
      <c r="H150" s="160">
        <v>1630902678</v>
      </c>
      <c r="I150" s="74">
        <f>137.99/111.82</f>
        <v>1.2340368449293508</v>
      </c>
      <c r="J150" s="76" t="s">
        <v>188</v>
      </c>
      <c r="K150" s="209">
        <f>+E150/I150</f>
        <v>1630902678.6920791</v>
      </c>
      <c r="L150" s="170" t="s">
        <v>177</v>
      </c>
      <c r="M150" s="54"/>
      <c r="N150" s="1" t="s">
        <v>936</v>
      </c>
    </row>
    <row r="151" spans="1:18" ht="15" x14ac:dyDescent="0.25">
      <c r="A151" s="175" t="s">
        <v>529</v>
      </c>
      <c r="B151" s="375" t="s">
        <v>189</v>
      </c>
      <c r="C151" s="371" t="s">
        <v>175</v>
      </c>
      <c r="D151" s="55" t="s">
        <v>142</v>
      </c>
      <c r="E151" s="117">
        <v>2013469099</v>
      </c>
      <c r="F151" s="242" t="s">
        <v>629</v>
      </c>
      <c r="G151" s="193">
        <v>43017</v>
      </c>
      <c r="H151" s="160">
        <v>1630902678</v>
      </c>
      <c r="I151" s="74">
        <f>138.05/111.82</f>
        <v>1.2345734215703812</v>
      </c>
      <c r="J151" s="76" t="s">
        <v>190</v>
      </c>
      <c r="K151" s="209">
        <f>+E151/I151</f>
        <v>1630902677.6543279</v>
      </c>
      <c r="L151" s="170" t="s">
        <v>177</v>
      </c>
      <c r="M151" s="54"/>
      <c r="N151" s="1" t="s">
        <v>936</v>
      </c>
    </row>
    <row r="152" spans="1:18" ht="15" x14ac:dyDescent="0.25">
      <c r="A152" s="175" t="s">
        <v>529</v>
      </c>
      <c r="B152" s="375" t="s">
        <v>191</v>
      </c>
      <c r="C152" s="371" t="s">
        <v>175</v>
      </c>
      <c r="D152" s="55" t="s">
        <v>142</v>
      </c>
      <c r="E152" s="117">
        <v>2013469099</v>
      </c>
      <c r="F152" s="242" t="s">
        <v>630</v>
      </c>
      <c r="G152" s="193">
        <v>43039</v>
      </c>
      <c r="H152" s="160">
        <v>1630902678</v>
      </c>
      <c r="I152" s="74">
        <f>138.05/111.82</f>
        <v>1.2345734215703812</v>
      </c>
      <c r="J152" s="76" t="s">
        <v>190</v>
      </c>
      <c r="K152" s="209">
        <f>+E152/I152</f>
        <v>1630902677.6543279</v>
      </c>
      <c r="L152" s="170" t="s">
        <v>177</v>
      </c>
      <c r="M152" s="54"/>
      <c r="N152" s="1" t="s">
        <v>936</v>
      </c>
    </row>
    <row r="153" spans="1:18" ht="15" x14ac:dyDescent="0.25">
      <c r="A153" s="175" t="s">
        <v>529</v>
      </c>
      <c r="B153" s="375" t="s">
        <v>310</v>
      </c>
      <c r="C153" s="371" t="s">
        <v>175</v>
      </c>
      <c r="D153" s="55" t="s">
        <v>142</v>
      </c>
      <c r="E153" s="117">
        <v>7470065162</v>
      </c>
      <c r="F153" s="242" t="s">
        <v>311</v>
      </c>
      <c r="G153" s="193">
        <v>43354</v>
      </c>
      <c r="H153" s="160"/>
      <c r="I153" s="74">
        <f>142.27/111.82</f>
        <v>1.2723126453228404</v>
      </c>
      <c r="J153" s="76" t="s">
        <v>416</v>
      </c>
      <c r="K153" s="209">
        <f>+E153/I153</f>
        <v>5871249640.9280939</v>
      </c>
      <c r="L153" s="170" t="s">
        <v>177</v>
      </c>
      <c r="M153" s="54" t="s">
        <v>947</v>
      </c>
    </row>
    <row r="154" spans="1:18" ht="15" x14ac:dyDescent="0.25">
      <c r="A154" s="175" t="s">
        <v>529</v>
      </c>
      <c r="B154" s="375" t="s">
        <v>417</v>
      </c>
      <c r="C154" s="371" t="s">
        <v>175</v>
      </c>
      <c r="D154" s="55" t="s">
        <v>142</v>
      </c>
      <c r="E154" s="117">
        <v>9700000000</v>
      </c>
      <c r="F154" s="242" t="s">
        <v>402</v>
      </c>
      <c r="G154" s="193">
        <v>43612</v>
      </c>
      <c r="H154" s="160"/>
      <c r="I154" s="74">
        <f>102.12/78.05</f>
        <v>1.3083920563741192</v>
      </c>
      <c r="J154" s="76" t="s">
        <v>400</v>
      </c>
      <c r="K154" s="209">
        <f>+E154/I154</f>
        <v>7413679984.3321581</v>
      </c>
      <c r="L154" s="170" t="s">
        <v>631</v>
      </c>
      <c r="M154" s="54" t="s">
        <v>946</v>
      </c>
    </row>
    <row r="155" spans="1:18" ht="15" x14ac:dyDescent="0.25">
      <c r="A155" s="175" t="s">
        <v>529</v>
      </c>
      <c r="B155" s="143" t="s">
        <v>778</v>
      </c>
      <c r="C155" s="371" t="s">
        <v>175</v>
      </c>
      <c r="D155" s="55" t="s">
        <v>142</v>
      </c>
      <c r="E155" s="117">
        <v>3700813045</v>
      </c>
      <c r="F155" s="242" t="s">
        <v>632</v>
      </c>
      <c r="G155" s="193">
        <v>43879</v>
      </c>
      <c r="H155" s="160"/>
      <c r="I155" s="74">
        <f>104.24/78.05</f>
        <v>1.3355541319666879</v>
      </c>
      <c r="J155" s="76" t="s">
        <v>633</v>
      </c>
      <c r="K155" s="209">
        <f>+E155/I155</f>
        <v>2770994418.2871261</v>
      </c>
      <c r="L155" s="170" t="s">
        <v>634</v>
      </c>
      <c r="M155" s="54" t="s">
        <v>945</v>
      </c>
    </row>
    <row r="156" spans="1:18" ht="15" x14ac:dyDescent="0.25">
      <c r="A156" s="175" t="s">
        <v>529</v>
      </c>
      <c r="B156" s="143" t="s">
        <v>778</v>
      </c>
      <c r="C156" s="371" t="s">
        <v>175</v>
      </c>
      <c r="D156" s="55" t="s">
        <v>142</v>
      </c>
      <c r="E156" s="117">
        <v>872133354</v>
      </c>
      <c r="F156" s="242" t="s">
        <v>632</v>
      </c>
      <c r="G156" s="193">
        <v>43916</v>
      </c>
      <c r="H156" s="160"/>
      <c r="I156" s="74">
        <f>104.94/78.05</f>
        <v>1.3445227418321588</v>
      </c>
      <c r="J156" s="76" t="s">
        <v>635</v>
      </c>
      <c r="K156" s="209">
        <f>+E156/I156</f>
        <v>648656453.97084045</v>
      </c>
      <c r="L156" s="170" t="s">
        <v>634</v>
      </c>
      <c r="M156" s="54" t="s">
        <v>890</v>
      </c>
    </row>
    <row r="157" spans="1:18" ht="15" x14ac:dyDescent="0.25">
      <c r="A157" s="175" t="s">
        <v>529</v>
      </c>
      <c r="B157" s="143" t="s">
        <v>778</v>
      </c>
      <c r="C157" s="371" t="s">
        <v>175</v>
      </c>
      <c r="D157" s="55" t="s">
        <v>142</v>
      </c>
      <c r="E157" s="117">
        <v>1934253887</v>
      </c>
      <c r="F157" s="242" t="s">
        <v>632</v>
      </c>
      <c r="G157" s="193">
        <v>43936</v>
      </c>
      <c r="H157" s="160"/>
      <c r="I157" s="74">
        <f>105.53/78.05</f>
        <v>1.35208199871877</v>
      </c>
      <c r="J157" s="76" t="s">
        <v>636</v>
      </c>
      <c r="K157" s="209">
        <f>+E157/I157</f>
        <v>1430574394.7725766</v>
      </c>
      <c r="L157" s="170" t="s">
        <v>634</v>
      </c>
      <c r="M157" s="54" t="s">
        <v>944</v>
      </c>
    </row>
    <row r="158" spans="1:18" s="26" customFormat="1" ht="15" x14ac:dyDescent="0.2">
      <c r="A158" s="227" t="s">
        <v>529</v>
      </c>
      <c r="B158" s="375" t="s">
        <v>778</v>
      </c>
      <c r="C158" s="371" t="s">
        <v>175</v>
      </c>
      <c r="D158" s="55" t="s">
        <v>142</v>
      </c>
      <c r="E158" s="137">
        <v>993588244.62</v>
      </c>
      <c r="F158" s="240" t="s">
        <v>632</v>
      </c>
      <c r="G158" s="195">
        <v>43972</v>
      </c>
      <c r="H158" s="142"/>
      <c r="I158" s="116">
        <f>[26]IPC!$S$13/78.05</f>
        <v>1.3542600896860988</v>
      </c>
      <c r="J158" s="226" t="s">
        <v>637</v>
      </c>
      <c r="K158" s="50">
        <f>+E158/I158</f>
        <v>733676087.9147681</v>
      </c>
      <c r="L158" s="170" t="s">
        <v>634</v>
      </c>
      <c r="M158" s="225" t="s">
        <v>943</v>
      </c>
      <c r="N158" s="1"/>
      <c r="O158" s="224"/>
      <c r="P158" s="224"/>
      <c r="Q158" s="224"/>
      <c r="R158" s="224"/>
    </row>
    <row r="159" spans="1:18" s="26" customFormat="1" ht="25.5" x14ac:dyDescent="0.25">
      <c r="A159" s="227" t="s">
        <v>529</v>
      </c>
      <c r="B159" s="375" t="s">
        <v>778</v>
      </c>
      <c r="C159" s="371" t="s">
        <v>175</v>
      </c>
      <c r="D159" s="55" t="s">
        <v>142</v>
      </c>
      <c r="E159" s="137">
        <v>738635363.88</v>
      </c>
      <c r="F159" s="240" t="s">
        <v>632</v>
      </c>
      <c r="G159" s="195">
        <v>43978</v>
      </c>
      <c r="H159" s="142"/>
      <c r="I159" s="116">
        <f>[26]IPC!$S$13/78.05</f>
        <v>1.3542600896860988</v>
      </c>
      <c r="J159" s="226" t="s">
        <v>637</v>
      </c>
      <c r="K159" s="50">
        <f>+E159/I159</f>
        <v>545416179.28887415</v>
      </c>
      <c r="L159" s="170" t="s">
        <v>634</v>
      </c>
      <c r="M159" s="225" t="s">
        <v>829</v>
      </c>
      <c r="N159" s="224" t="s">
        <v>942</v>
      </c>
      <c r="O159" s="224"/>
      <c r="P159" s="224"/>
      <c r="Q159" s="224"/>
      <c r="R159" s="224"/>
    </row>
    <row r="160" spans="1:18" s="26" customFormat="1" ht="25.5" x14ac:dyDescent="0.25">
      <c r="A160" s="227" t="s">
        <v>529</v>
      </c>
      <c r="B160" s="375" t="s">
        <v>778</v>
      </c>
      <c r="C160" s="371" t="s">
        <v>175</v>
      </c>
      <c r="D160" s="55" t="s">
        <v>142</v>
      </c>
      <c r="E160" s="241">
        <v>17584629</v>
      </c>
      <c r="F160" s="240" t="s">
        <v>632</v>
      </c>
      <c r="G160" s="195">
        <v>43993</v>
      </c>
      <c r="H160" s="142"/>
      <c r="I160" s="116">
        <f>[26]IPC!$S$14/78.05</f>
        <v>1.3499039077514414</v>
      </c>
      <c r="J160" s="226" t="s">
        <v>638</v>
      </c>
      <c r="K160" s="50">
        <f>+E160/I160</f>
        <v>13026578.33570615</v>
      </c>
      <c r="L160" s="170" t="s">
        <v>634</v>
      </c>
      <c r="M160" s="225" t="s">
        <v>828</v>
      </c>
      <c r="O160" s="224"/>
      <c r="P160" s="224"/>
      <c r="Q160" s="224"/>
      <c r="R160" s="224"/>
    </row>
    <row r="161" spans="1:18" s="26" customFormat="1" ht="15" x14ac:dyDescent="0.25">
      <c r="A161" s="227" t="s">
        <v>529</v>
      </c>
      <c r="B161" s="375" t="s">
        <v>778</v>
      </c>
      <c r="C161" s="371" t="s">
        <v>175</v>
      </c>
      <c r="D161" s="55" t="s">
        <v>142</v>
      </c>
      <c r="E161" s="241">
        <v>750489233.00999999</v>
      </c>
      <c r="F161" s="240" t="s">
        <v>632</v>
      </c>
      <c r="G161" s="195">
        <v>44018</v>
      </c>
      <c r="H161" s="142"/>
      <c r="I161" s="116">
        <f>[26]IPC!$S$15/78.05</f>
        <v>1.3449071108263935</v>
      </c>
      <c r="J161" s="226" t="s">
        <v>639</v>
      </c>
      <c r="K161" s="50">
        <f>+E161/I161</f>
        <v>558023098.37506425</v>
      </c>
      <c r="L161" s="170" t="s">
        <v>634</v>
      </c>
      <c r="M161" s="225" t="s">
        <v>827</v>
      </c>
      <c r="O161" s="224"/>
      <c r="P161" s="224"/>
      <c r="Q161" s="224"/>
      <c r="R161" s="224"/>
    </row>
    <row r="162" spans="1:18" s="26" customFormat="1" ht="15" x14ac:dyDescent="0.25">
      <c r="A162" s="227" t="s">
        <v>529</v>
      </c>
      <c r="B162" s="375" t="s">
        <v>778</v>
      </c>
      <c r="C162" s="371" t="s">
        <v>175</v>
      </c>
      <c r="D162" s="55" t="s">
        <v>142</v>
      </c>
      <c r="E162" s="241">
        <v>181387196.86000001</v>
      </c>
      <c r="F162" s="240" t="s">
        <v>632</v>
      </c>
      <c r="G162" s="195">
        <v>44061</v>
      </c>
      <c r="H162" s="142"/>
      <c r="I162" s="116">
        <f>[26]IPC!$S$16/78.05</f>
        <v>1.3449071108263935</v>
      </c>
      <c r="J162" s="226" t="s">
        <v>826</v>
      </c>
      <c r="K162" s="50">
        <f>+E162/I162</f>
        <v>134869683.86132228</v>
      </c>
      <c r="L162" s="170" t="s">
        <v>634</v>
      </c>
      <c r="M162" s="225" t="s">
        <v>825</v>
      </c>
      <c r="O162" s="224"/>
      <c r="P162" s="224"/>
      <c r="Q162" s="224"/>
      <c r="R162" s="224"/>
    </row>
    <row r="163" spans="1:18" s="26" customFormat="1" ht="15" x14ac:dyDescent="0.25">
      <c r="A163" s="227" t="s">
        <v>529</v>
      </c>
      <c r="B163" s="375" t="s">
        <v>778</v>
      </c>
      <c r="C163" s="371" t="s">
        <v>175</v>
      </c>
      <c r="D163" s="55" t="s">
        <v>142</v>
      </c>
      <c r="E163" s="241">
        <v>534754668.94</v>
      </c>
      <c r="F163" s="240" t="s">
        <v>632</v>
      </c>
      <c r="G163" s="195">
        <v>44089</v>
      </c>
      <c r="H163" s="142"/>
      <c r="I163" s="116">
        <f>[26]IPC!$S$17/78.05</f>
        <v>1.3447789878283152</v>
      </c>
      <c r="J163" s="226" t="s">
        <v>824</v>
      </c>
      <c r="K163" s="50">
        <f>+E163/I163</f>
        <v>397652457.22910631</v>
      </c>
      <c r="L163" s="170" t="s">
        <v>634</v>
      </c>
      <c r="M163" s="225" t="s">
        <v>823</v>
      </c>
      <c r="O163" s="224"/>
      <c r="P163" s="224"/>
      <c r="Q163" s="224"/>
      <c r="R163" s="224"/>
    </row>
    <row r="164" spans="1:18" s="26" customFormat="1" ht="15" x14ac:dyDescent="0.25">
      <c r="A164" s="227"/>
      <c r="B164" s="375" t="s">
        <v>778</v>
      </c>
      <c r="C164" s="371" t="s">
        <v>175</v>
      </c>
      <c r="D164" s="55" t="s">
        <v>142</v>
      </c>
      <c r="E164" s="241">
        <v>165626011.69</v>
      </c>
      <c r="F164" s="240" t="s">
        <v>632</v>
      </c>
      <c r="G164" s="195">
        <v>44132</v>
      </c>
      <c r="H164" s="142"/>
      <c r="I164" s="116">
        <f>[26]IPC!$S$18/78.05</f>
        <v>1.3490070467648945</v>
      </c>
      <c r="J164" s="226" t="s">
        <v>822</v>
      </c>
      <c r="K164" s="50">
        <f>+E164/I164</f>
        <v>122776239.07687813</v>
      </c>
      <c r="L164" s="170" t="s">
        <v>634</v>
      </c>
      <c r="M164" s="225" t="s">
        <v>821</v>
      </c>
      <c r="O164" s="224"/>
      <c r="P164" s="224"/>
      <c r="Q164" s="224"/>
      <c r="R164" s="224"/>
    </row>
    <row r="165" spans="1:18" s="26" customFormat="1" ht="15" x14ac:dyDescent="0.25">
      <c r="A165" s="227"/>
      <c r="B165" s="375" t="s">
        <v>778</v>
      </c>
      <c r="C165" s="371" t="s">
        <v>175</v>
      </c>
      <c r="D165" s="55" t="s">
        <v>142</v>
      </c>
      <c r="E165" s="241">
        <v>1548488</v>
      </c>
      <c r="F165" s="240" t="s">
        <v>632</v>
      </c>
      <c r="G165" s="195">
        <v>44162</v>
      </c>
      <c r="H165" s="142"/>
      <c r="I165" s="116">
        <f>[26]IPC!$S$19/78.05</f>
        <v>1.3482383087764254</v>
      </c>
      <c r="J165" s="226" t="s">
        <v>1000</v>
      </c>
      <c r="K165" s="50">
        <f>+E165/I165</f>
        <v>1148526.9257816211</v>
      </c>
      <c r="L165" s="170" t="s">
        <v>634</v>
      </c>
      <c r="M165" s="225" t="s">
        <v>999</v>
      </c>
      <c r="O165" s="224"/>
      <c r="P165" s="224"/>
      <c r="Q165" s="224"/>
      <c r="R165" s="224"/>
    </row>
    <row r="166" spans="1:18" ht="17.25" customHeight="1" x14ac:dyDescent="0.25">
      <c r="A166" s="175" t="s">
        <v>529</v>
      </c>
      <c r="B166" s="143" t="s">
        <v>778</v>
      </c>
      <c r="C166" s="371" t="s">
        <v>175</v>
      </c>
      <c r="D166" s="58" t="s">
        <v>142</v>
      </c>
      <c r="E166" s="145">
        <v>3518806545</v>
      </c>
      <c r="F166" s="146"/>
      <c r="G166" s="193">
        <v>43916</v>
      </c>
      <c r="H166" s="350"/>
      <c r="I166" s="349">
        <f>104.94/78.05</f>
        <v>1.3445227418321588</v>
      </c>
      <c r="J166" s="348" t="s">
        <v>723</v>
      </c>
      <c r="K166" s="347">
        <f>+E166/I166</f>
        <v>2617141707.9974275</v>
      </c>
      <c r="L166" s="191" t="s">
        <v>1025</v>
      </c>
      <c r="M166" s="54" t="s">
        <v>890</v>
      </c>
      <c r="N166" s="1" t="s">
        <v>998</v>
      </c>
      <c r="O166" s="178"/>
      <c r="P166" s="178"/>
      <c r="Q166" s="178"/>
    </row>
    <row r="167" spans="1:18" ht="12" customHeight="1" x14ac:dyDescent="0.2">
      <c r="A167" s="175"/>
      <c r="B167" s="375" t="s">
        <v>778</v>
      </c>
      <c r="C167" s="371" t="s">
        <v>175</v>
      </c>
      <c r="D167" s="55" t="s">
        <v>142</v>
      </c>
      <c r="E167" s="241">
        <v>917112865.76999998</v>
      </c>
      <c r="F167" s="240" t="s">
        <v>632</v>
      </c>
      <c r="G167" s="195">
        <v>44214</v>
      </c>
      <c r="H167" s="346"/>
      <c r="I167" s="345">
        <f>[26]IPC!S21/78.05</f>
        <v>1.3514413837283794</v>
      </c>
      <c r="J167" s="344" t="s">
        <v>1131</v>
      </c>
      <c r="K167" s="171">
        <f>+E167/I167</f>
        <v>678618308.4314419</v>
      </c>
      <c r="L167" s="170" t="s">
        <v>634</v>
      </c>
      <c r="M167" s="225" t="s">
        <v>1130</v>
      </c>
      <c r="O167" s="178"/>
      <c r="P167" s="178"/>
      <c r="Q167" s="178"/>
    </row>
    <row r="168" spans="1:18" ht="12" customHeight="1" x14ac:dyDescent="0.2">
      <c r="A168" s="175"/>
      <c r="B168" s="375" t="s">
        <v>778</v>
      </c>
      <c r="C168" s="371" t="s">
        <v>175</v>
      </c>
      <c r="D168" s="55" t="s">
        <v>142</v>
      </c>
      <c r="E168" s="241">
        <v>349466802.72000003</v>
      </c>
      <c r="F168" s="240" t="s">
        <v>632</v>
      </c>
      <c r="G168" s="195">
        <v>44232</v>
      </c>
      <c r="H168" s="346"/>
      <c r="I168" s="345">
        <f>[26]IPC!$T$10/78.05</f>
        <v>1.3569506726457399</v>
      </c>
      <c r="J168" s="344" t="s">
        <v>1128</v>
      </c>
      <c r="K168" s="171">
        <f>+E168/I168</f>
        <v>257538324.54249838</v>
      </c>
      <c r="L168" s="170" t="s">
        <v>634</v>
      </c>
      <c r="M168" s="225" t="s">
        <v>1129</v>
      </c>
      <c r="O168" s="178"/>
      <c r="P168" s="178"/>
      <c r="Q168" s="178"/>
    </row>
    <row r="169" spans="1:18" s="26" customFormat="1" ht="15" x14ac:dyDescent="0.25">
      <c r="A169" s="227"/>
      <c r="B169" s="375" t="s">
        <v>778</v>
      </c>
      <c r="C169" s="371" t="s">
        <v>175</v>
      </c>
      <c r="D169" s="55" t="s">
        <v>142</v>
      </c>
      <c r="E169" s="241">
        <v>338367330.27999997</v>
      </c>
      <c r="F169" s="240" t="s">
        <v>632</v>
      </c>
      <c r="G169" s="195">
        <v>44232</v>
      </c>
      <c r="H169" s="142"/>
      <c r="I169" s="116">
        <f>[26]IPC!T10/78.05</f>
        <v>1.3569506726457399</v>
      </c>
      <c r="J169" s="226" t="s">
        <v>1128</v>
      </c>
      <c r="K169" s="50">
        <f>+E169/I169</f>
        <v>249358607.57580963</v>
      </c>
      <c r="L169" s="170" t="s">
        <v>634</v>
      </c>
      <c r="M169" s="225" t="s">
        <v>1127</v>
      </c>
      <c r="O169" s="224"/>
      <c r="P169" s="224"/>
      <c r="Q169" s="224"/>
      <c r="R169" s="224"/>
    </row>
    <row r="170" spans="1:18" s="177" customFormat="1" ht="30" x14ac:dyDescent="0.25">
      <c r="A170" s="177" t="s">
        <v>474</v>
      </c>
      <c r="B170" s="373" t="s">
        <v>192</v>
      </c>
      <c r="C170" s="373"/>
      <c r="D170" s="373"/>
      <c r="E170" s="373"/>
      <c r="F170" s="373"/>
      <c r="G170" s="182"/>
      <c r="H170" s="373"/>
      <c r="I170" s="373"/>
      <c r="J170" s="373"/>
      <c r="K170" s="373"/>
      <c r="L170" s="373"/>
      <c r="M170" s="179"/>
      <c r="O170" s="178"/>
      <c r="P170" s="178"/>
      <c r="Q170" s="178"/>
      <c r="R170" s="178"/>
    </row>
    <row r="171" spans="1:18" s="177" customFormat="1" ht="15" x14ac:dyDescent="0.25">
      <c r="A171" s="181" t="s">
        <v>529</v>
      </c>
      <c r="B171" s="138" t="s">
        <v>129</v>
      </c>
      <c r="C171" s="139" t="s">
        <v>130</v>
      </c>
      <c r="D171" s="139" t="s">
        <v>131</v>
      </c>
      <c r="E171" s="851" t="s">
        <v>132</v>
      </c>
      <c r="F171" s="852"/>
      <c r="G171" s="851" t="s">
        <v>133</v>
      </c>
      <c r="H171" s="853"/>
      <c r="I171" s="853"/>
      <c r="J171" s="853"/>
      <c r="K171" s="852"/>
      <c r="L171" s="140" t="s">
        <v>96</v>
      </c>
      <c r="M171" s="140" t="s">
        <v>777</v>
      </c>
      <c r="O171" s="178"/>
      <c r="P171" s="178"/>
      <c r="Q171" s="178"/>
      <c r="R171" s="178"/>
    </row>
    <row r="172" spans="1:18" s="177" customFormat="1" ht="45" x14ac:dyDescent="0.25">
      <c r="A172" s="181" t="s">
        <v>529</v>
      </c>
      <c r="B172" s="138"/>
      <c r="C172" s="139"/>
      <c r="D172" s="139"/>
      <c r="E172" s="141" t="s">
        <v>134</v>
      </c>
      <c r="F172" s="141" t="s">
        <v>135</v>
      </c>
      <c r="G172" s="180" t="s">
        <v>607</v>
      </c>
      <c r="H172" s="141" t="s">
        <v>136</v>
      </c>
      <c r="I172" s="141" t="s">
        <v>137</v>
      </c>
      <c r="J172" s="141" t="s">
        <v>138</v>
      </c>
      <c r="K172" s="141" t="s">
        <v>139</v>
      </c>
      <c r="L172" s="140"/>
      <c r="M172" s="179"/>
      <c r="O172" s="178"/>
      <c r="P172" s="178"/>
      <c r="Q172" s="178"/>
      <c r="R172" s="178"/>
    </row>
    <row r="173" spans="1:18" ht="15" x14ac:dyDescent="0.25">
      <c r="A173" s="175" t="s">
        <v>529</v>
      </c>
      <c r="B173" s="375" t="s">
        <v>140</v>
      </c>
      <c r="C173" s="154" t="s">
        <v>640</v>
      </c>
      <c r="D173" s="55" t="s">
        <v>142</v>
      </c>
      <c r="E173" s="209">
        <v>4270238021</v>
      </c>
      <c r="F173" s="146" t="s">
        <v>143</v>
      </c>
      <c r="G173" s="203">
        <v>42645</v>
      </c>
      <c r="H173" s="161">
        <v>3885265434</v>
      </c>
      <c r="I173" s="39">
        <f>123.78/111.82</f>
        <v>1.1069576104453587</v>
      </c>
      <c r="J173" s="75" t="s">
        <v>151</v>
      </c>
      <c r="K173" s="209">
        <f>+E173/I173</f>
        <v>3857634638.1339469</v>
      </c>
      <c r="L173" s="170" t="s">
        <v>177</v>
      </c>
      <c r="M173" s="214"/>
      <c r="N173" s="1" t="s">
        <v>936</v>
      </c>
    </row>
    <row r="174" spans="1:18" ht="15" x14ac:dyDescent="0.25">
      <c r="A174" s="175" t="s">
        <v>529</v>
      </c>
      <c r="B174" s="375" t="s">
        <v>140</v>
      </c>
      <c r="C174" s="154" t="s">
        <v>640</v>
      </c>
      <c r="D174" s="55" t="s">
        <v>142</v>
      </c>
      <c r="E174" s="209">
        <v>31161593</v>
      </c>
      <c r="F174" s="146" t="s">
        <v>143</v>
      </c>
      <c r="G174" s="203">
        <v>42395</v>
      </c>
      <c r="H174" s="161"/>
      <c r="I174" s="74">
        <f>126.15/111.82</f>
        <v>1.1281523877660526</v>
      </c>
      <c r="J174" s="76" t="s">
        <v>154</v>
      </c>
      <c r="K174" s="209">
        <f>+E174/I174</f>
        <v>27621794.128101464</v>
      </c>
      <c r="L174" s="170" t="s">
        <v>177</v>
      </c>
      <c r="M174" s="214"/>
      <c r="N174" s="1" t="s">
        <v>936</v>
      </c>
    </row>
    <row r="175" spans="1:18" ht="15" x14ac:dyDescent="0.25">
      <c r="A175" s="175" t="s">
        <v>529</v>
      </c>
      <c r="B175" s="375" t="s">
        <v>144</v>
      </c>
      <c r="C175" s="154" t="s">
        <v>640</v>
      </c>
      <c r="D175" s="55" t="s">
        <v>142</v>
      </c>
      <c r="E175" s="209">
        <v>3890427652</v>
      </c>
      <c r="F175" s="146" t="s">
        <v>193</v>
      </c>
      <c r="G175" s="203">
        <v>42474</v>
      </c>
      <c r="H175" s="161">
        <v>3330227513</v>
      </c>
      <c r="I175" s="74">
        <f>130.63/111.82</f>
        <v>1.1682167769629763</v>
      </c>
      <c r="J175" s="76" t="s">
        <v>157</v>
      </c>
      <c r="K175" s="209">
        <f>+E175/I175</f>
        <v>3330227513.1795144</v>
      </c>
      <c r="L175" s="170" t="s">
        <v>177</v>
      </c>
      <c r="M175" s="214"/>
      <c r="N175" s="1" t="s">
        <v>936</v>
      </c>
    </row>
    <row r="176" spans="1:18" ht="15" x14ac:dyDescent="0.25">
      <c r="A176" s="175" t="s">
        <v>529</v>
      </c>
      <c r="B176" s="375" t="s">
        <v>145</v>
      </c>
      <c r="C176" s="154" t="s">
        <v>640</v>
      </c>
      <c r="D176" s="55" t="s">
        <v>142</v>
      </c>
      <c r="E176" s="209">
        <v>3954459034</v>
      </c>
      <c r="F176" s="146" t="s">
        <v>194</v>
      </c>
      <c r="G176" s="239">
        <v>42650</v>
      </c>
      <c r="H176" s="161">
        <v>3330227513</v>
      </c>
      <c r="I176" s="74">
        <f>132.78/111.82</f>
        <v>1.1874441065998929</v>
      </c>
      <c r="J176" s="76" t="s">
        <v>163</v>
      </c>
      <c r="K176" s="209">
        <f>+E176/I176</f>
        <v>3330227513.0432291</v>
      </c>
      <c r="L176" s="170" t="s">
        <v>177</v>
      </c>
      <c r="M176" s="214"/>
      <c r="N176" s="1" t="s">
        <v>936</v>
      </c>
    </row>
    <row r="177" spans="1:18" ht="15" x14ac:dyDescent="0.25">
      <c r="A177" s="175" t="s">
        <v>529</v>
      </c>
      <c r="B177" s="375" t="s">
        <v>146</v>
      </c>
      <c r="C177" s="154" t="s">
        <v>640</v>
      </c>
      <c r="D177" s="55" t="s">
        <v>142</v>
      </c>
      <c r="E177" s="238">
        <v>4092052050</v>
      </c>
      <c r="F177" s="146" t="s">
        <v>195</v>
      </c>
      <c r="G177" s="203">
        <v>42885</v>
      </c>
      <c r="H177" s="161">
        <v>3330227513</v>
      </c>
      <c r="I177" s="74">
        <f>137.4/111.82</f>
        <v>1.2287605079592203</v>
      </c>
      <c r="J177" s="76" t="s">
        <v>196</v>
      </c>
      <c r="K177" s="209">
        <f>+E177/I177</f>
        <v>3330227512.5982528</v>
      </c>
      <c r="L177" s="170" t="s">
        <v>177</v>
      </c>
      <c r="M177" s="214"/>
      <c r="N177" s="1" t="s">
        <v>936</v>
      </c>
    </row>
    <row r="178" spans="1:18" ht="30" x14ac:dyDescent="0.25">
      <c r="A178" s="175" t="s">
        <v>529</v>
      </c>
      <c r="B178" s="375" t="s">
        <v>819</v>
      </c>
      <c r="C178" s="154" t="s">
        <v>820</v>
      </c>
      <c r="D178" s="55" t="s">
        <v>142</v>
      </c>
      <c r="E178" s="238">
        <v>32581947</v>
      </c>
      <c r="F178" s="146"/>
      <c r="G178" s="203">
        <v>42923</v>
      </c>
      <c r="H178" s="161"/>
      <c r="I178" s="74">
        <f>137.87/111.82</f>
        <v>1.2329636916472904</v>
      </c>
      <c r="J178" s="76" t="s">
        <v>186</v>
      </c>
      <c r="K178" s="209">
        <f>+E178/I178</f>
        <v>26425714.902009137</v>
      </c>
      <c r="L178" s="170" t="s">
        <v>819</v>
      </c>
      <c r="M178" s="214"/>
      <c r="N178" s="1" t="s">
        <v>936</v>
      </c>
    </row>
    <row r="179" spans="1:18" ht="15" x14ac:dyDescent="0.25">
      <c r="A179" s="175" t="s">
        <v>529</v>
      </c>
      <c r="B179" s="375" t="s">
        <v>147</v>
      </c>
      <c r="C179" s="154" t="s">
        <v>640</v>
      </c>
      <c r="D179" s="55" t="s">
        <v>142</v>
      </c>
      <c r="E179" s="117">
        <v>4111410375</v>
      </c>
      <c r="F179" s="146" t="s">
        <v>197</v>
      </c>
      <c r="G179" s="203">
        <v>43017</v>
      </c>
      <c r="H179" s="161">
        <v>3330227513</v>
      </c>
      <c r="I179" s="74">
        <f>138.05/111.82</f>
        <v>1.2345734215703812</v>
      </c>
      <c r="J179" s="76" t="s">
        <v>190</v>
      </c>
      <c r="K179" s="209">
        <f>+E179/I179</f>
        <v>3330227512.7308941</v>
      </c>
      <c r="L179" s="170" t="s">
        <v>177</v>
      </c>
      <c r="M179" s="214"/>
      <c r="N179" s="1" t="s">
        <v>936</v>
      </c>
    </row>
    <row r="180" spans="1:18" ht="15" x14ac:dyDescent="0.25">
      <c r="A180" s="175" t="s">
        <v>529</v>
      </c>
      <c r="B180" s="375" t="s">
        <v>148</v>
      </c>
      <c r="C180" s="154" t="s">
        <v>640</v>
      </c>
      <c r="D180" s="55" t="s">
        <v>142</v>
      </c>
      <c r="E180" s="117">
        <v>4200756490</v>
      </c>
      <c r="F180" s="146" t="s">
        <v>198</v>
      </c>
      <c r="G180" s="203">
        <v>43209</v>
      </c>
      <c r="H180" s="161">
        <v>3330227513</v>
      </c>
      <c r="I180" s="74">
        <f>141.05/111.82</f>
        <v>1.2614022536218925</v>
      </c>
      <c r="J180" s="76" t="s">
        <v>199</v>
      </c>
      <c r="K180" s="234">
        <f>E180/I180</f>
        <v>3330227513.0223322</v>
      </c>
      <c r="L180" s="170" t="s">
        <v>177</v>
      </c>
      <c r="M180" s="214" t="s">
        <v>927</v>
      </c>
    </row>
    <row r="181" spans="1:18" ht="15" x14ac:dyDescent="0.25">
      <c r="A181" s="175" t="s">
        <v>529</v>
      </c>
      <c r="B181" s="375" t="s">
        <v>149</v>
      </c>
      <c r="C181" s="154" t="s">
        <v>640</v>
      </c>
      <c r="D181" s="55" t="s">
        <v>142</v>
      </c>
      <c r="E181" s="117">
        <v>4243940445</v>
      </c>
      <c r="F181" s="146" t="s">
        <v>200</v>
      </c>
      <c r="G181" s="203">
        <v>43384</v>
      </c>
      <c r="H181" s="161">
        <v>3330227513</v>
      </c>
      <c r="I181" s="74">
        <f>142.5/111.82</f>
        <v>1.2743695224467895</v>
      </c>
      <c r="J181" s="76" t="s">
        <v>315</v>
      </c>
      <c r="K181" s="234">
        <f>E181/I181</f>
        <v>3330227512.7010527</v>
      </c>
      <c r="L181" s="170" t="s">
        <v>177</v>
      </c>
      <c r="M181" s="214" t="s">
        <v>900</v>
      </c>
    </row>
    <row r="182" spans="1:18" ht="15" x14ac:dyDescent="0.25">
      <c r="A182" s="175" t="s">
        <v>529</v>
      </c>
      <c r="B182" s="375" t="s">
        <v>150</v>
      </c>
      <c r="C182" s="154" t="s">
        <v>640</v>
      </c>
      <c r="D182" s="55" t="s">
        <v>142</v>
      </c>
      <c r="E182" s="117">
        <v>4335995951</v>
      </c>
      <c r="F182" s="196" t="s">
        <v>201</v>
      </c>
      <c r="G182" s="203">
        <v>43580</v>
      </c>
      <c r="H182" s="161">
        <v>3330227513</v>
      </c>
      <c r="I182" s="74">
        <f>101.62/78.05</f>
        <v>1.3019859064702115</v>
      </c>
      <c r="J182" s="76" t="s">
        <v>346</v>
      </c>
      <c r="K182" s="234">
        <f>E182/I182</f>
        <v>3330294075.7286949</v>
      </c>
      <c r="L182" s="170" t="s">
        <v>641</v>
      </c>
      <c r="M182" s="214" t="s">
        <v>941</v>
      </c>
    </row>
    <row r="183" spans="1:18" ht="15" x14ac:dyDescent="0.25">
      <c r="A183" s="175" t="s">
        <v>529</v>
      </c>
      <c r="B183" s="375" t="s">
        <v>178</v>
      </c>
      <c r="C183" s="154" t="s">
        <v>640</v>
      </c>
      <c r="D183" s="55" t="s">
        <v>142</v>
      </c>
      <c r="E183" s="117">
        <v>3687610549</v>
      </c>
      <c r="F183" s="196" t="s">
        <v>202</v>
      </c>
      <c r="G183" s="233">
        <v>43748</v>
      </c>
      <c r="H183" s="172">
        <v>2787313610</v>
      </c>
      <c r="I183" s="74">
        <f>103.26/78.05</f>
        <v>1.322998078155029</v>
      </c>
      <c r="J183" s="76" t="s">
        <v>469</v>
      </c>
      <c r="K183" s="234">
        <f>E183/I183</f>
        <v>2787313609.8145456</v>
      </c>
      <c r="L183" s="170" t="s">
        <v>177</v>
      </c>
      <c r="M183" s="214" t="s">
        <v>931</v>
      </c>
    </row>
    <row r="184" spans="1:18" ht="15" x14ac:dyDescent="0.25">
      <c r="A184" s="175" t="s">
        <v>529</v>
      </c>
      <c r="B184" s="375" t="s">
        <v>179</v>
      </c>
      <c r="C184" s="154" t="s">
        <v>640</v>
      </c>
      <c r="D184" s="55" t="s">
        <v>142</v>
      </c>
      <c r="E184" s="117">
        <v>3768676557</v>
      </c>
      <c r="F184" s="196" t="s">
        <v>203</v>
      </c>
      <c r="G184" s="233">
        <v>43935</v>
      </c>
      <c r="H184" s="172">
        <v>2787313610</v>
      </c>
      <c r="I184" s="74">
        <f>105.53/78.05</f>
        <v>1.35208199871877</v>
      </c>
      <c r="J184" s="76" t="s">
        <v>642</v>
      </c>
      <c r="K184" s="234">
        <f>E184/I184</f>
        <v>2787313610.0999718</v>
      </c>
      <c r="L184" s="170" t="s">
        <v>177</v>
      </c>
      <c r="M184" s="214" t="s">
        <v>916</v>
      </c>
    </row>
    <row r="185" spans="1:18" ht="15" x14ac:dyDescent="0.2">
      <c r="A185" s="175" t="s">
        <v>529</v>
      </c>
      <c r="B185" s="845" t="s">
        <v>180</v>
      </c>
      <c r="C185" s="154" t="s">
        <v>640</v>
      </c>
      <c r="D185" s="55" t="s">
        <v>142</v>
      </c>
      <c r="E185" s="237">
        <v>2486181857.1399999</v>
      </c>
      <c r="F185" s="196" t="s">
        <v>204</v>
      </c>
      <c r="G185" s="233">
        <v>44126</v>
      </c>
      <c r="H185" s="849">
        <v>1848766139</v>
      </c>
      <c r="I185" s="74">
        <f>[26]IPC!$S$18/78.05</f>
        <v>1.3490070467648945</v>
      </c>
      <c r="J185" s="76" t="s">
        <v>818</v>
      </c>
      <c r="K185" s="234">
        <f>E185/I185</f>
        <v>1842971734.7305248</v>
      </c>
      <c r="L185" s="236" t="str">
        <f>IF(K185&lt;H185,"Incumplió","Cumplió")</f>
        <v>Incumplió</v>
      </c>
      <c r="M185" s="54" t="s">
        <v>817</v>
      </c>
      <c r="N185" s="235"/>
    </row>
    <row r="186" spans="1:18" ht="15" x14ac:dyDescent="0.2">
      <c r="A186" s="175"/>
      <c r="B186" s="846"/>
      <c r="C186" s="154" t="s">
        <v>640</v>
      </c>
      <c r="D186" s="55" t="s">
        <v>142</v>
      </c>
      <c r="E186" s="237">
        <v>7816692</v>
      </c>
      <c r="F186" s="196" t="s">
        <v>839</v>
      </c>
      <c r="G186" s="233">
        <v>44134</v>
      </c>
      <c r="H186" s="850"/>
      <c r="I186" s="74">
        <f>[26]IPC!$S$18/78.05</f>
        <v>1.3490070467648945</v>
      </c>
      <c r="J186" s="76" t="s">
        <v>818</v>
      </c>
      <c r="K186" s="234">
        <f>E186/I186</f>
        <v>5794404.1276474493</v>
      </c>
      <c r="L186" s="170" t="s">
        <v>177</v>
      </c>
      <c r="M186" s="54" t="s">
        <v>835</v>
      </c>
      <c r="N186" s="235"/>
    </row>
    <row r="187" spans="1:18" ht="15" x14ac:dyDescent="0.2">
      <c r="A187" s="175" t="s">
        <v>529</v>
      </c>
      <c r="B187" s="375" t="s">
        <v>181</v>
      </c>
      <c r="C187" s="155"/>
      <c r="D187" s="55" t="s">
        <v>142</v>
      </c>
      <c r="E187" s="170"/>
      <c r="F187" s="196" t="s">
        <v>205</v>
      </c>
      <c r="G187" s="233"/>
      <c r="H187" s="172">
        <v>1848766139</v>
      </c>
      <c r="I187" s="166"/>
      <c r="J187" s="166"/>
      <c r="K187" s="234">
        <v>0</v>
      </c>
      <c r="L187" s="170"/>
      <c r="M187" s="54"/>
    </row>
    <row r="188" spans="1:18" s="26" customFormat="1" ht="38.25" x14ac:dyDescent="0.25">
      <c r="A188" s="227" t="s">
        <v>529</v>
      </c>
      <c r="B188" s="375" t="s">
        <v>182</v>
      </c>
      <c r="C188" s="155"/>
      <c r="D188" s="55" t="s">
        <v>142</v>
      </c>
      <c r="E188" s="170"/>
      <c r="F188" s="196" t="s">
        <v>643</v>
      </c>
      <c r="G188" s="233"/>
      <c r="H188" s="172">
        <v>2542964000</v>
      </c>
      <c r="I188" s="166"/>
      <c r="J188" s="166"/>
      <c r="K188" s="232">
        <v>0</v>
      </c>
      <c r="L188" s="170"/>
      <c r="M188" s="225"/>
      <c r="O188" s="224"/>
      <c r="P188" s="224"/>
      <c r="Q188" s="224"/>
      <c r="R188" s="224"/>
    </row>
    <row r="189" spans="1:18" s="26" customFormat="1" ht="15" x14ac:dyDescent="0.25">
      <c r="A189" s="227" t="s">
        <v>529</v>
      </c>
      <c r="B189" s="375"/>
      <c r="C189" s="155"/>
      <c r="D189" s="55"/>
      <c r="E189" s="170"/>
      <c r="F189" s="196"/>
      <c r="G189" s="233"/>
      <c r="H189" s="172"/>
      <c r="I189" s="166"/>
      <c r="J189" s="166"/>
      <c r="K189" s="232"/>
      <c r="L189" s="170"/>
      <c r="M189" s="225"/>
      <c r="O189" s="224"/>
      <c r="P189" s="224"/>
      <c r="Q189" s="224"/>
      <c r="R189" s="224"/>
    </row>
    <row r="190" spans="1:18" s="177" customFormat="1" ht="15" x14ac:dyDescent="0.25">
      <c r="A190" s="177" t="s">
        <v>475</v>
      </c>
      <c r="B190" s="373" t="s">
        <v>206</v>
      </c>
      <c r="C190" s="373"/>
      <c r="D190" s="373"/>
      <c r="E190" s="373"/>
      <c r="F190" s="373"/>
      <c r="G190" s="182"/>
      <c r="H190" s="373"/>
      <c r="I190" s="373"/>
      <c r="J190" s="373"/>
      <c r="K190" s="373"/>
      <c r="L190" s="373"/>
      <c r="M190" s="179"/>
      <c r="O190" s="178"/>
      <c r="P190" s="178"/>
      <c r="Q190" s="178"/>
      <c r="R190" s="178"/>
    </row>
    <row r="191" spans="1:18" s="372" customFormat="1" ht="15" x14ac:dyDescent="0.2">
      <c r="A191" s="231" t="s">
        <v>529</v>
      </c>
      <c r="B191" s="138" t="s">
        <v>129</v>
      </c>
      <c r="C191" s="139" t="s">
        <v>130</v>
      </c>
      <c r="D191" s="139" t="s">
        <v>131</v>
      </c>
      <c r="E191" s="851" t="s">
        <v>132</v>
      </c>
      <c r="F191" s="852"/>
      <c r="G191" s="851" t="s">
        <v>133</v>
      </c>
      <c r="H191" s="853"/>
      <c r="I191" s="853"/>
      <c r="J191" s="853"/>
      <c r="K191" s="852"/>
      <c r="L191" s="140" t="s">
        <v>96</v>
      </c>
      <c r="M191" s="140" t="s">
        <v>777</v>
      </c>
      <c r="O191" s="230"/>
      <c r="P191" s="230"/>
      <c r="Q191" s="230"/>
      <c r="R191" s="230"/>
    </row>
    <row r="192" spans="1:18" s="372" customFormat="1" ht="45" x14ac:dyDescent="0.2">
      <c r="A192" s="231" t="s">
        <v>529</v>
      </c>
      <c r="B192" s="138"/>
      <c r="C192" s="139"/>
      <c r="D192" s="139"/>
      <c r="E192" s="141" t="s">
        <v>134</v>
      </c>
      <c r="F192" s="141" t="s">
        <v>135</v>
      </c>
      <c r="G192" s="180" t="s">
        <v>607</v>
      </c>
      <c r="H192" s="141" t="s">
        <v>136</v>
      </c>
      <c r="I192" s="141" t="s">
        <v>137</v>
      </c>
      <c r="J192" s="141" t="s">
        <v>138</v>
      </c>
      <c r="K192" s="141" t="s">
        <v>139</v>
      </c>
      <c r="L192" s="140"/>
      <c r="M192" s="185"/>
      <c r="O192" s="230"/>
      <c r="P192" s="230"/>
      <c r="Q192" s="230"/>
      <c r="R192" s="230"/>
    </row>
    <row r="193" spans="1:18" ht="28.5" x14ac:dyDescent="0.2">
      <c r="A193" s="175" t="s">
        <v>529</v>
      </c>
      <c r="B193" s="375" t="s">
        <v>140</v>
      </c>
      <c r="C193" s="154" t="s">
        <v>326</v>
      </c>
      <c r="D193" s="55" t="s">
        <v>142</v>
      </c>
      <c r="E193" s="228">
        <v>384680737</v>
      </c>
      <c r="F193" s="4" t="s">
        <v>143</v>
      </c>
      <c r="G193" s="229">
        <v>42278</v>
      </c>
      <c r="H193" s="849">
        <v>350000000</v>
      </c>
      <c r="I193" s="39">
        <f>123.78/111.82</f>
        <v>1.1069576104453587</v>
      </c>
      <c r="J193" s="75" t="s">
        <v>151</v>
      </c>
      <c r="K193" s="209">
        <f>+E193/I193</f>
        <v>347511714.42349327</v>
      </c>
      <c r="L193" s="170" t="s">
        <v>177</v>
      </c>
      <c r="M193" s="54"/>
      <c r="N193" s="1" t="s">
        <v>936</v>
      </c>
    </row>
    <row r="194" spans="1:18" ht="28.5" x14ac:dyDescent="0.2">
      <c r="A194" s="175" t="s">
        <v>529</v>
      </c>
      <c r="B194" s="375" t="s">
        <v>140</v>
      </c>
      <c r="C194" s="154" t="s">
        <v>326</v>
      </c>
      <c r="D194" s="55" t="s">
        <v>142</v>
      </c>
      <c r="E194" s="228">
        <v>2807165</v>
      </c>
      <c r="F194" s="4" t="s">
        <v>143</v>
      </c>
      <c r="G194" s="229">
        <v>42395</v>
      </c>
      <c r="H194" s="850"/>
      <c r="I194" s="74">
        <f>126.15/111.82</f>
        <v>1.1281523877660526</v>
      </c>
      <c r="J194" s="76" t="s">
        <v>154</v>
      </c>
      <c r="K194" s="209">
        <f>+E194/I194</f>
        <v>2488285.297661514</v>
      </c>
      <c r="L194" s="170" t="s">
        <v>177</v>
      </c>
      <c r="M194" s="54"/>
      <c r="N194" s="1" t="s">
        <v>936</v>
      </c>
    </row>
    <row r="195" spans="1:18" ht="42.75" x14ac:dyDescent="0.2">
      <c r="A195" s="175" t="s">
        <v>529</v>
      </c>
      <c r="B195" s="375" t="s">
        <v>144</v>
      </c>
      <c r="C195" s="154" t="s">
        <v>326</v>
      </c>
      <c r="D195" s="55" t="s">
        <v>142</v>
      </c>
      <c r="E195" s="228">
        <v>394853336</v>
      </c>
      <c r="F195" s="4" t="s">
        <v>644</v>
      </c>
      <c r="G195" s="229">
        <v>42398</v>
      </c>
      <c r="H195" s="161">
        <v>350000000</v>
      </c>
      <c r="I195" s="74">
        <f>126.15/111.82</f>
        <v>1.1281523877660526</v>
      </c>
      <c r="J195" s="76" t="s">
        <v>155</v>
      </c>
      <c r="K195" s="209">
        <f>+E195/I195</f>
        <v>350000000.24986124</v>
      </c>
      <c r="L195" s="170" t="s">
        <v>177</v>
      </c>
      <c r="M195" s="54"/>
      <c r="N195" s="1" t="s">
        <v>936</v>
      </c>
    </row>
    <row r="196" spans="1:18" ht="42.75" x14ac:dyDescent="0.2">
      <c r="A196" s="175" t="s">
        <v>529</v>
      </c>
      <c r="B196" s="375" t="s">
        <v>145</v>
      </c>
      <c r="C196" s="154" t="s">
        <v>326</v>
      </c>
      <c r="D196" s="55" t="s">
        <v>142</v>
      </c>
      <c r="E196" s="228">
        <v>417546056</v>
      </c>
      <c r="F196" s="4" t="s">
        <v>644</v>
      </c>
      <c r="G196" s="229">
        <v>42765</v>
      </c>
      <c r="H196" s="161">
        <v>350000000</v>
      </c>
      <c r="I196" s="74">
        <f>133.4/111.82</f>
        <v>1.1929887318905386</v>
      </c>
      <c r="J196" s="76" t="s">
        <v>207</v>
      </c>
      <c r="K196" s="209">
        <f>+E196/I196</f>
        <v>349999999.86446768</v>
      </c>
      <c r="L196" s="170" t="s">
        <v>177</v>
      </c>
      <c r="M196" s="54"/>
      <c r="N196" s="1" t="s">
        <v>936</v>
      </c>
    </row>
    <row r="197" spans="1:18" ht="42.75" x14ac:dyDescent="0.2">
      <c r="A197" s="175" t="s">
        <v>529</v>
      </c>
      <c r="B197" s="375" t="s">
        <v>146</v>
      </c>
      <c r="C197" s="154" t="s">
        <v>326</v>
      </c>
      <c r="D197" s="55" t="s">
        <v>142</v>
      </c>
      <c r="E197" s="228">
        <v>434604722</v>
      </c>
      <c r="F197" s="4" t="s">
        <v>644</v>
      </c>
      <c r="G197" s="229">
        <v>43223</v>
      </c>
      <c r="H197" s="849">
        <v>350000000</v>
      </c>
      <c r="I197" s="74">
        <f>141.05/111.82</f>
        <v>1.2614022536218925</v>
      </c>
      <c r="J197" s="76" t="s">
        <v>236</v>
      </c>
      <c r="K197" s="209">
        <f>+E197/I197</f>
        <v>344540943.02757883</v>
      </c>
      <c r="L197" s="170" t="s">
        <v>177</v>
      </c>
      <c r="M197" s="54" t="s">
        <v>940</v>
      </c>
    </row>
    <row r="198" spans="1:18" ht="42.75" x14ac:dyDescent="0.2">
      <c r="A198" s="175" t="s">
        <v>529</v>
      </c>
      <c r="B198" s="375" t="s">
        <v>282</v>
      </c>
      <c r="C198" s="154" t="s">
        <v>326</v>
      </c>
      <c r="D198" s="55" t="s">
        <v>142</v>
      </c>
      <c r="E198" s="228">
        <v>10047398</v>
      </c>
      <c r="F198" s="4" t="s">
        <v>644</v>
      </c>
      <c r="G198" s="229">
        <v>43263</v>
      </c>
      <c r="H198" s="850"/>
      <c r="I198" s="74">
        <f>142.06/111.82</f>
        <v>1.2704346270792346</v>
      </c>
      <c r="J198" s="76" t="s">
        <v>236</v>
      </c>
      <c r="K198" s="209">
        <f>+E198/I198</f>
        <v>7908630.4685344212</v>
      </c>
      <c r="L198" s="170" t="s">
        <v>645</v>
      </c>
      <c r="M198" s="54" t="s">
        <v>939</v>
      </c>
    </row>
    <row r="199" spans="1:18" ht="42.75" x14ac:dyDescent="0.2">
      <c r="A199" s="175" t="s">
        <v>529</v>
      </c>
      <c r="B199" s="375" t="s">
        <v>147</v>
      </c>
      <c r="C199" s="154" t="s">
        <v>326</v>
      </c>
      <c r="D199" s="55" t="s">
        <v>142</v>
      </c>
      <c r="E199" s="228">
        <v>446029333</v>
      </c>
      <c r="F199" s="4" t="s">
        <v>644</v>
      </c>
      <c r="G199" s="229">
        <v>43399</v>
      </c>
      <c r="H199" s="161">
        <v>350000000</v>
      </c>
      <c r="I199" s="74">
        <f>142.5/111.82</f>
        <v>1.2743695224467895</v>
      </c>
      <c r="J199" s="76" t="s">
        <v>315</v>
      </c>
      <c r="K199" s="209">
        <f>+E199/I199</f>
        <v>350000000.11270177</v>
      </c>
      <c r="L199" s="170" t="s">
        <v>177</v>
      </c>
      <c r="M199" s="54" t="s">
        <v>938</v>
      </c>
    </row>
    <row r="200" spans="1:18" ht="42.75" x14ac:dyDescent="0.2">
      <c r="A200" s="175" t="s">
        <v>529</v>
      </c>
      <c r="B200" s="375" t="s">
        <v>148</v>
      </c>
      <c r="C200" s="154" t="s">
        <v>326</v>
      </c>
      <c r="D200" s="55" t="s">
        <v>142</v>
      </c>
      <c r="E200" s="228">
        <v>477093543</v>
      </c>
      <c r="F200" s="4" t="s">
        <v>644</v>
      </c>
      <c r="G200" s="229">
        <v>43445</v>
      </c>
      <c r="H200" s="161">
        <v>350000000</v>
      </c>
      <c r="I200" s="74">
        <f>142.84/111.82</f>
        <v>1.2774101234126276</v>
      </c>
      <c r="J200" s="76" t="s">
        <v>325</v>
      </c>
      <c r="K200" s="209">
        <f>+E200/I200</f>
        <v>373485018.04998595</v>
      </c>
      <c r="L200" s="170" t="s">
        <v>177</v>
      </c>
      <c r="M200" s="54" t="s">
        <v>937</v>
      </c>
    </row>
    <row r="201" spans="1:18" ht="42.75" x14ac:dyDescent="0.2">
      <c r="A201" s="175" t="s">
        <v>529</v>
      </c>
      <c r="B201" s="375" t="s">
        <v>149</v>
      </c>
      <c r="C201" s="154" t="s">
        <v>326</v>
      </c>
      <c r="D201" s="55" t="s">
        <v>142</v>
      </c>
      <c r="E201" s="228">
        <v>463049327</v>
      </c>
      <c r="F201" s="4" t="s">
        <v>644</v>
      </c>
      <c r="G201" s="229">
        <v>43748</v>
      </c>
      <c r="H201" s="161">
        <v>350000000</v>
      </c>
      <c r="I201" s="74">
        <f>103.26/78.05</f>
        <v>1.322998078155029</v>
      </c>
      <c r="J201" s="76" t="s">
        <v>460</v>
      </c>
      <c r="K201" s="209">
        <f>+E201/I201</f>
        <v>349999999.73222929</v>
      </c>
      <c r="L201" s="170" t="s">
        <v>466</v>
      </c>
      <c r="M201" s="54" t="s">
        <v>931</v>
      </c>
    </row>
    <row r="202" spans="1:18" ht="15" x14ac:dyDescent="0.2">
      <c r="A202" s="175" t="s">
        <v>529</v>
      </c>
      <c r="B202" s="845" t="s">
        <v>150</v>
      </c>
      <c r="C202" s="154" t="s">
        <v>326</v>
      </c>
      <c r="D202" s="55" t="s">
        <v>142</v>
      </c>
      <c r="E202" s="228">
        <v>470672645.74000001</v>
      </c>
      <c r="F202" s="856" t="s">
        <v>644</v>
      </c>
      <c r="G202" s="173">
        <v>44118</v>
      </c>
      <c r="H202" s="849">
        <v>350000000</v>
      </c>
      <c r="I202" s="74">
        <f>105.29/78.05</f>
        <v>1.3490070467648945</v>
      </c>
      <c r="J202" s="76" t="s">
        <v>816</v>
      </c>
      <c r="K202" s="209">
        <f>+E202/I202</f>
        <v>348903029.72748595</v>
      </c>
      <c r="L202" s="861" t="s">
        <v>815</v>
      </c>
      <c r="M202" s="54" t="s">
        <v>781</v>
      </c>
    </row>
    <row r="203" spans="1:18" ht="15" x14ac:dyDescent="0.2">
      <c r="A203" s="175"/>
      <c r="B203" s="846"/>
      <c r="C203" s="154" t="s">
        <v>326</v>
      </c>
      <c r="D203" s="55"/>
      <c r="E203" s="228">
        <v>1479820</v>
      </c>
      <c r="F203" s="857"/>
      <c r="G203" s="173">
        <v>44134</v>
      </c>
      <c r="H203" s="850"/>
      <c r="I203" s="74">
        <f>105.29/78.05</f>
        <v>1.3490070467648945</v>
      </c>
      <c r="J203" s="76" t="s">
        <v>816</v>
      </c>
      <c r="K203" s="209">
        <f>+E203/I203</f>
        <v>1096969.8071991641</v>
      </c>
      <c r="L203" s="862"/>
      <c r="M203" s="54"/>
    </row>
    <row r="204" spans="1:18" s="177" customFormat="1" ht="25.5" x14ac:dyDescent="0.25">
      <c r="A204" s="177" t="s">
        <v>327</v>
      </c>
      <c r="B204" s="373" t="s">
        <v>208</v>
      </c>
      <c r="C204" s="373"/>
      <c r="D204" s="373"/>
      <c r="E204" s="373"/>
      <c r="F204" s="373"/>
      <c r="G204" s="182"/>
      <c r="H204" s="373"/>
      <c r="I204" s="373"/>
      <c r="J204" s="373"/>
      <c r="K204" s="373"/>
      <c r="L204" s="373"/>
      <c r="M204" s="179"/>
      <c r="O204" s="178"/>
      <c r="P204" s="178"/>
      <c r="Q204" s="178"/>
      <c r="R204" s="178"/>
    </row>
    <row r="205" spans="1:18" s="177" customFormat="1" ht="15" x14ac:dyDescent="0.25">
      <c r="A205" s="181" t="s">
        <v>529</v>
      </c>
      <c r="B205" s="138" t="s">
        <v>129</v>
      </c>
      <c r="C205" s="139" t="s">
        <v>130</v>
      </c>
      <c r="D205" s="139" t="s">
        <v>131</v>
      </c>
      <c r="E205" s="851" t="s">
        <v>132</v>
      </c>
      <c r="F205" s="852"/>
      <c r="G205" s="851" t="s">
        <v>133</v>
      </c>
      <c r="H205" s="853"/>
      <c r="I205" s="853"/>
      <c r="J205" s="853"/>
      <c r="K205" s="852"/>
      <c r="L205" s="140" t="s">
        <v>96</v>
      </c>
      <c r="M205" s="140" t="s">
        <v>777</v>
      </c>
      <c r="O205" s="178"/>
      <c r="P205" s="178"/>
      <c r="Q205" s="178"/>
      <c r="R205" s="178"/>
    </row>
    <row r="206" spans="1:18" s="177" customFormat="1" ht="45" x14ac:dyDescent="0.25">
      <c r="A206" s="181" t="s">
        <v>529</v>
      </c>
      <c r="B206" s="138"/>
      <c r="C206" s="139"/>
      <c r="D206" s="139"/>
      <c r="E206" s="141" t="s">
        <v>134</v>
      </c>
      <c r="F206" s="141" t="s">
        <v>135</v>
      </c>
      <c r="G206" s="180" t="s">
        <v>607</v>
      </c>
      <c r="H206" s="141" t="s">
        <v>136</v>
      </c>
      <c r="I206" s="141" t="s">
        <v>137</v>
      </c>
      <c r="J206" s="141" t="s">
        <v>138</v>
      </c>
      <c r="K206" s="141" t="s">
        <v>139</v>
      </c>
      <c r="L206" s="140"/>
      <c r="M206" s="179"/>
      <c r="O206" s="178"/>
      <c r="P206" s="178"/>
      <c r="Q206" s="178"/>
      <c r="R206" s="178"/>
    </row>
    <row r="207" spans="1:18" ht="57.75" x14ac:dyDescent="0.25">
      <c r="A207" s="175" t="s">
        <v>529</v>
      </c>
      <c r="B207" s="375" t="s">
        <v>814</v>
      </c>
      <c r="C207" s="154" t="s">
        <v>327</v>
      </c>
      <c r="D207" s="55" t="s">
        <v>142</v>
      </c>
      <c r="E207" s="117">
        <v>310301163.36000001</v>
      </c>
      <c r="F207" s="4" t="s">
        <v>646</v>
      </c>
      <c r="G207" s="203">
        <v>42278</v>
      </c>
      <c r="H207" s="161">
        <v>252000000</v>
      </c>
      <c r="I207" s="39">
        <f>123.78/111.82</f>
        <v>1.1069576104453587</v>
      </c>
      <c r="J207" s="75" t="s">
        <v>151</v>
      </c>
      <c r="K207" s="209">
        <f>+E207/I207</f>
        <v>280318921.367872</v>
      </c>
      <c r="L207" s="170" t="s">
        <v>177</v>
      </c>
      <c r="M207" s="54"/>
      <c r="N207" s="1" t="s">
        <v>936</v>
      </c>
    </row>
    <row r="208" spans="1:18" s="26" customFormat="1" ht="52.5" customHeight="1" x14ac:dyDescent="0.2">
      <c r="A208" s="227" t="s">
        <v>529</v>
      </c>
      <c r="B208" s="845" t="s">
        <v>813</v>
      </c>
      <c r="C208" s="154" t="s">
        <v>327</v>
      </c>
      <c r="D208" s="55" t="s">
        <v>142</v>
      </c>
      <c r="E208" s="137">
        <v>67589211</v>
      </c>
      <c r="F208" s="856" t="s">
        <v>209</v>
      </c>
      <c r="G208" s="176">
        <v>42374</v>
      </c>
      <c r="H208" s="849">
        <v>60000000</v>
      </c>
      <c r="I208" s="116">
        <f>126.15/111.82</f>
        <v>1.1281523877660526</v>
      </c>
      <c r="J208" s="226" t="s">
        <v>154</v>
      </c>
      <c r="K208" s="50">
        <f>+E208/I208</f>
        <v>59911419.532461353</v>
      </c>
      <c r="L208" s="170" t="s">
        <v>177</v>
      </c>
      <c r="M208" s="225"/>
      <c r="N208" s="1" t="s">
        <v>936</v>
      </c>
      <c r="O208" s="224"/>
      <c r="P208" s="224"/>
      <c r="Q208" s="224"/>
      <c r="R208" s="224"/>
    </row>
    <row r="209" spans="1:18" s="26" customFormat="1" ht="44.25" customHeight="1" x14ac:dyDescent="0.2">
      <c r="A209" s="227" t="s">
        <v>529</v>
      </c>
      <c r="B209" s="846"/>
      <c r="C209" s="154" t="s">
        <v>327</v>
      </c>
      <c r="D209" s="55" t="s">
        <v>142</v>
      </c>
      <c r="E209" s="137">
        <v>1896513</v>
      </c>
      <c r="F209" s="857"/>
      <c r="G209" s="176">
        <v>42398</v>
      </c>
      <c r="H209" s="850"/>
      <c r="I209" s="116">
        <f>126.15/111.82</f>
        <v>1.1281523877660526</v>
      </c>
      <c r="J209" s="226" t="s">
        <v>154</v>
      </c>
      <c r="K209" s="50">
        <f>+E209/I209</f>
        <v>1681078.7448275862</v>
      </c>
      <c r="L209" s="170" t="s">
        <v>177</v>
      </c>
      <c r="M209" s="225"/>
      <c r="N209" s="1" t="s">
        <v>936</v>
      </c>
      <c r="O209" s="224"/>
      <c r="P209" s="224"/>
      <c r="Q209" s="224"/>
      <c r="R209" s="224"/>
    </row>
    <row r="210" spans="1:18" ht="15" x14ac:dyDescent="0.25">
      <c r="A210" s="175" t="s">
        <v>529</v>
      </c>
      <c r="B210" s="375" t="s">
        <v>812</v>
      </c>
      <c r="C210" s="154" t="s">
        <v>327</v>
      </c>
      <c r="D210" s="55" t="s">
        <v>142</v>
      </c>
      <c r="E210" s="117">
        <v>71162374</v>
      </c>
      <c r="F210" s="4"/>
      <c r="G210" s="203">
        <v>42556</v>
      </c>
      <c r="H210" s="161">
        <v>60000000</v>
      </c>
      <c r="I210" s="74">
        <f>132.58/111.82</f>
        <v>1.1856555177964587</v>
      </c>
      <c r="J210" s="76" t="s">
        <v>160</v>
      </c>
      <c r="K210" s="209">
        <f>+E210/I210</f>
        <v>60019434.761502482</v>
      </c>
      <c r="L210" s="170" t="s">
        <v>177</v>
      </c>
      <c r="M210" s="54"/>
      <c r="N210" s="1" t="s">
        <v>936</v>
      </c>
    </row>
    <row r="211" spans="1:18" ht="15" x14ac:dyDescent="0.25">
      <c r="A211" s="175" t="s">
        <v>529</v>
      </c>
      <c r="B211" s="375" t="s">
        <v>811</v>
      </c>
      <c r="C211" s="154" t="s">
        <v>327</v>
      </c>
      <c r="D211" s="55" t="s">
        <v>142</v>
      </c>
      <c r="E211" s="117">
        <v>71579324</v>
      </c>
      <c r="F211" s="4" t="s">
        <v>210</v>
      </c>
      <c r="G211" s="203">
        <v>42741</v>
      </c>
      <c r="H211" s="161">
        <v>60000000</v>
      </c>
      <c r="I211" s="74">
        <f>133.4/111.82</f>
        <v>1.1929887318905386</v>
      </c>
      <c r="J211" s="76" t="s">
        <v>165</v>
      </c>
      <c r="K211" s="209">
        <f>+E211/I211</f>
        <v>60000000.072563708</v>
      </c>
      <c r="L211" s="170" t="s">
        <v>177</v>
      </c>
      <c r="M211" s="54"/>
      <c r="N211" s="1" t="s">
        <v>936</v>
      </c>
    </row>
    <row r="212" spans="1:18" ht="15" x14ac:dyDescent="0.25">
      <c r="A212" s="175" t="s">
        <v>529</v>
      </c>
      <c r="B212" s="375" t="s">
        <v>810</v>
      </c>
      <c r="C212" s="154" t="s">
        <v>327</v>
      </c>
      <c r="D212" s="55" t="s">
        <v>142</v>
      </c>
      <c r="E212" s="117">
        <v>300633160</v>
      </c>
      <c r="F212" s="4" t="s">
        <v>211</v>
      </c>
      <c r="G212" s="203">
        <v>42741</v>
      </c>
      <c r="H212" s="161">
        <v>252000000</v>
      </c>
      <c r="I212" s="74">
        <f>133.4/111.82</f>
        <v>1.1929887318905386</v>
      </c>
      <c r="J212" s="76" t="s">
        <v>165</v>
      </c>
      <c r="K212" s="209">
        <f>+E212/I212</f>
        <v>251999999.63418287</v>
      </c>
      <c r="L212" s="170" t="s">
        <v>177</v>
      </c>
      <c r="M212" s="54"/>
      <c r="N212" s="1" t="s">
        <v>936</v>
      </c>
    </row>
    <row r="213" spans="1:18" ht="15" x14ac:dyDescent="0.25">
      <c r="A213" s="175" t="s">
        <v>529</v>
      </c>
      <c r="B213" s="375" t="s">
        <v>809</v>
      </c>
      <c r="C213" s="154" t="s">
        <v>327</v>
      </c>
      <c r="D213" s="55" t="s">
        <v>142</v>
      </c>
      <c r="E213" s="117">
        <v>73891969</v>
      </c>
      <c r="F213" s="4" t="s">
        <v>212</v>
      </c>
      <c r="G213" s="203">
        <v>42913</v>
      </c>
      <c r="H213" s="161">
        <v>60000000</v>
      </c>
      <c r="I213" s="74">
        <f>137.71/111.82</f>
        <v>1.2315328206045431</v>
      </c>
      <c r="J213" s="76" t="s">
        <v>213</v>
      </c>
      <c r="K213" s="209">
        <f>+E213/I213</f>
        <v>59999999.808147557</v>
      </c>
      <c r="L213" s="170" t="s">
        <v>177</v>
      </c>
      <c r="M213" s="54"/>
      <c r="N213" s="1" t="s">
        <v>936</v>
      </c>
    </row>
    <row r="214" spans="1:18" ht="15" x14ac:dyDescent="0.25">
      <c r="A214" s="175" t="s">
        <v>529</v>
      </c>
      <c r="B214" s="375" t="s">
        <v>808</v>
      </c>
      <c r="C214" s="154" t="s">
        <v>327</v>
      </c>
      <c r="D214" s="55" t="s">
        <v>142</v>
      </c>
      <c r="E214" s="117">
        <v>74503666</v>
      </c>
      <c r="F214" s="4" t="s">
        <v>214</v>
      </c>
      <c r="G214" s="203">
        <v>43116</v>
      </c>
      <c r="H214" s="161">
        <v>60000000</v>
      </c>
      <c r="I214" s="74">
        <f>138.85/111.82</f>
        <v>1.2417277767841173</v>
      </c>
      <c r="J214" s="76" t="s">
        <v>215</v>
      </c>
      <c r="K214" s="209">
        <f>+E214/I214</f>
        <v>59999999.511127122</v>
      </c>
      <c r="L214" s="170" t="s">
        <v>647</v>
      </c>
      <c r="M214" s="54"/>
    </row>
    <row r="215" spans="1:18" ht="15" x14ac:dyDescent="0.25">
      <c r="A215" s="175" t="s">
        <v>529</v>
      </c>
      <c r="B215" s="375" t="s">
        <v>807</v>
      </c>
      <c r="C215" s="154" t="s">
        <v>327</v>
      </c>
      <c r="D215" s="55" t="s">
        <v>142</v>
      </c>
      <c r="E215" s="117">
        <f>387419066-74503667</f>
        <v>312915399</v>
      </c>
      <c r="F215" s="4" t="s">
        <v>216</v>
      </c>
      <c r="G215" s="203">
        <v>43116</v>
      </c>
      <c r="H215" s="161">
        <v>252000000</v>
      </c>
      <c r="I215" s="74">
        <f>138.85/111.82</f>
        <v>1.2417277767841173</v>
      </c>
      <c r="J215" s="76" t="s">
        <v>215</v>
      </c>
      <c r="K215" s="209">
        <f>+E215/I215</f>
        <v>251999999.39632699</v>
      </c>
      <c r="L215" s="170" t="s">
        <v>217</v>
      </c>
      <c r="M215" s="54" t="s">
        <v>929</v>
      </c>
      <c r="N215" s="167" t="s">
        <v>935</v>
      </c>
    </row>
    <row r="216" spans="1:18" ht="15" x14ac:dyDescent="0.25">
      <c r="A216" s="175" t="s">
        <v>529</v>
      </c>
      <c r="B216" s="375" t="s">
        <v>806</v>
      </c>
      <c r="C216" s="154" t="s">
        <v>327</v>
      </c>
      <c r="D216" s="55" t="s">
        <v>142</v>
      </c>
      <c r="E216" s="223">
        <v>76344124.489999995</v>
      </c>
      <c r="F216" s="4" t="s">
        <v>297</v>
      </c>
      <c r="G216" s="203">
        <v>43305</v>
      </c>
      <c r="H216" s="161">
        <v>60000000</v>
      </c>
      <c r="I216" s="74">
        <f>142.28/111.82</f>
        <v>1.272402074763012</v>
      </c>
      <c r="J216" s="76" t="s">
        <v>298</v>
      </c>
      <c r="K216" s="209">
        <f>+E216/I216</f>
        <v>60000000.003315993</v>
      </c>
      <c r="L216" s="170" t="s">
        <v>647</v>
      </c>
      <c r="M216" s="54" t="s">
        <v>903</v>
      </c>
      <c r="N216" s="167" t="s">
        <v>934</v>
      </c>
    </row>
    <row r="217" spans="1:18" ht="15" x14ac:dyDescent="0.25">
      <c r="A217" s="175"/>
      <c r="B217" s="375" t="s">
        <v>805</v>
      </c>
      <c r="C217" s="154" t="s">
        <v>327</v>
      </c>
      <c r="D217" s="55" t="s">
        <v>142</v>
      </c>
      <c r="E217" s="223">
        <v>76644607.900017902</v>
      </c>
      <c r="F217" s="4" t="s">
        <v>648</v>
      </c>
      <c r="G217" s="203">
        <v>43445</v>
      </c>
      <c r="H217" s="161">
        <f>60000000</f>
        <v>60000000</v>
      </c>
      <c r="I217" s="74">
        <f>142.84/111.82</f>
        <v>1.2774101234126276</v>
      </c>
      <c r="J217" s="76" t="s">
        <v>328</v>
      </c>
      <c r="K217" s="209">
        <f>+E217/I217</f>
        <v>60000000.387706533</v>
      </c>
      <c r="L217" s="170" t="s">
        <v>177</v>
      </c>
      <c r="M217" s="863" t="s">
        <v>933</v>
      </c>
    </row>
    <row r="218" spans="1:18" ht="15" x14ac:dyDescent="0.25">
      <c r="A218" s="175" t="s">
        <v>529</v>
      </c>
      <c r="B218" s="375" t="s">
        <v>804</v>
      </c>
      <c r="C218" s="154" t="s">
        <v>327</v>
      </c>
      <c r="D218" s="55" t="s">
        <v>142</v>
      </c>
      <c r="E218" s="223">
        <v>321907351.09998214</v>
      </c>
      <c r="F218" s="4" t="s">
        <v>648</v>
      </c>
      <c r="G218" s="203">
        <v>43445</v>
      </c>
      <c r="H218" s="161">
        <v>252000000</v>
      </c>
      <c r="I218" s="74">
        <f>142.84/111.82</f>
        <v>1.2774101234126276</v>
      </c>
      <c r="J218" s="76" t="s">
        <v>328</v>
      </c>
      <c r="K218" s="209">
        <f>+E218/I218</f>
        <v>252000000</v>
      </c>
      <c r="L218" s="170" t="s">
        <v>177</v>
      </c>
      <c r="M218" s="864"/>
    </row>
    <row r="219" spans="1:18" ht="15" x14ac:dyDescent="0.25">
      <c r="A219" s="175" t="s">
        <v>529</v>
      </c>
      <c r="B219" s="375" t="s">
        <v>803</v>
      </c>
      <c r="C219" s="154" t="s">
        <v>327</v>
      </c>
      <c r="D219" s="55" t="s">
        <v>142</v>
      </c>
      <c r="E219" s="223">
        <v>79133889</v>
      </c>
      <c r="F219" s="4" t="s">
        <v>649</v>
      </c>
      <c r="G219" s="203">
        <v>43686</v>
      </c>
      <c r="H219" s="161">
        <v>60000000</v>
      </c>
      <c r="I219" s="74">
        <f>102.71/78.05</f>
        <v>1.3159513132607303</v>
      </c>
      <c r="J219" s="76" t="s">
        <v>418</v>
      </c>
      <c r="K219" s="209">
        <f>+E219/I219</f>
        <v>60134359.2293837</v>
      </c>
      <c r="L219" s="170" t="s">
        <v>647</v>
      </c>
      <c r="M219" s="54" t="s">
        <v>932</v>
      </c>
    </row>
    <row r="220" spans="1:18" ht="15" x14ac:dyDescent="0.25">
      <c r="A220" s="175" t="s">
        <v>529</v>
      </c>
      <c r="B220" s="375" t="s">
        <v>802</v>
      </c>
      <c r="C220" s="154" t="s">
        <v>327</v>
      </c>
      <c r="D220" s="55" t="s">
        <v>142</v>
      </c>
      <c r="E220" s="223">
        <v>333395516</v>
      </c>
      <c r="F220" s="4" t="s">
        <v>467</v>
      </c>
      <c r="G220" s="203">
        <v>43748</v>
      </c>
      <c r="H220" s="161">
        <v>252000000</v>
      </c>
      <c r="I220" s="74">
        <f>103.26/78.05</f>
        <v>1.322998078155029</v>
      </c>
      <c r="J220" s="76" t="s">
        <v>460</v>
      </c>
      <c r="K220" s="209">
        <f>+E220/I220</f>
        <v>252000000.23048612</v>
      </c>
      <c r="L220" s="170" t="s">
        <v>650</v>
      </c>
      <c r="M220" s="54" t="s">
        <v>931</v>
      </c>
    </row>
    <row r="221" spans="1:18" ht="15" x14ac:dyDescent="0.25">
      <c r="A221" s="175" t="s">
        <v>529</v>
      </c>
      <c r="B221" s="375" t="s">
        <v>801</v>
      </c>
      <c r="C221" s="154" t="s">
        <v>327</v>
      </c>
      <c r="D221" s="55" t="s">
        <v>142</v>
      </c>
      <c r="E221" s="223">
        <v>79795004</v>
      </c>
      <c r="F221" s="4" t="s">
        <v>651</v>
      </c>
      <c r="G221" s="203">
        <v>43844</v>
      </c>
      <c r="H221" s="161">
        <v>60000000</v>
      </c>
      <c r="I221" s="74">
        <f>103.8/78.05</f>
        <v>1.3299167200512492</v>
      </c>
      <c r="J221" s="76" t="s">
        <v>471</v>
      </c>
      <c r="K221" s="209">
        <f>+E221/I221</f>
        <v>60000000.599229291</v>
      </c>
      <c r="L221" s="170" t="s">
        <v>647</v>
      </c>
      <c r="M221" s="54" t="s">
        <v>919</v>
      </c>
    </row>
    <row r="222" spans="1:18" s="2" customFormat="1" ht="15" x14ac:dyDescent="0.25">
      <c r="A222" s="175" t="s">
        <v>529</v>
      </c>
      <c r="B222" s="375" t="s">
        <v>800</v>
      </c>
      <c r="C222" s="221" t="s">
        <v>327</v>
      </c>
      <c r="D222" s="55" t="s">
        <v>142</v>
      </c>
      <c r="E222" s="218">
        <v>80694426.650000006</v>
      </c>
      <c r="F222" s="222" t="s">
        <v>652</v>
      </c>
      <c r="G222" s="220">
        <v>44026</v>
      </c>
      <c r="H222" s="217">
        <v>60000000</v>
      </c>
      <c r="I222" s="219">
        <f>104.97/78.05</f>
        <v>1.3449071108263935</v>
      </c>
      <c r="J222" s="76" t="s">
        <v>639</v>
      </c>
      <c r="K222" s="209">
        <f>+E222/I222</f>
        <v>60000000.000309609</v>
      </c>
      <c r="L222" s="170" t="s">
        <v>177</v>
      </c>
      <c r="M222" s="54" t="s">
        <v>930</v>
      </c>
      <c r="O222" s="22"/>
      <c r="P222" s="22"/>
      <c r="Q222" s="22"/>
      <c r="R222" s="22"/>
    </row>
    <row r="223" spans="1:18" ht="15" x14ac:dyDescent="0.25">
      <c r="A223" s="175" t="s">
        <v>529</v>
      </c>
      <c r="B223" s="845" t="s">
        <v>799</v>
      </c>
      <c r="C223" s="221" t="s">
        <v>327</v>
      </c>
      <c r="D223" s="55" t="s">
        <v>142</v>
      </c>
      <c r="E223" s="218">
        <v>338884304.93000001</v>
      </c>
      <c r="F223" s="4" t="s">
        <v>798</v>
      </c>
      <c r="G223" s="220">
        <v>44118</v>
      </c>
      <c r="H223" s="854">
        <v>252000000</v>
      </c>
      <c r="I223" s="219">
        <f>105.29/78.05</f>
        <v>1.3490070467648945</v>
      </c>
      <c r="J223" s="76" t="s">
        <v>797</v>
      </c>
      <c r="K223" s="209">
        <f>+E223/I223</f>
        <v>251210181.4017143</v>
      </c>
      <c r="L223" s="170" t="s">
        <v>796</v>
      </c>
      <c r="M223" s="54" t="s">
        <v>781</v>
      </c>
    </row>
    <row r="224" spans="1:18" ht="15" x14ac:dyDescent="0.25">
      <c r="A224" s="175" t="s">
        <v>529</v>
      </c>
      <c r="B224" s="846"/>
      <c r="C224" s="221" t="s">
        <v>327</v>
      </c>
      <c r="D224" s="55" t="s">
        <v>142</v>
      </c>
      <c r="E224" s="218">
        <v>1065471</v>
      </c>
      <c r="F224" s="4" t="s">
        <v>838</v>
      </c>
      <c r="G224" s="220">
        <v>44134</v>
      </c>
      <c r="H224" s="855"/>
      <c r="I224" s="219">
        <f>105.29/78.05</f>
        <v>1.3490070467648945</v>
      </c>
      <c r="J224" s="76" t="s">
        <v>797</v>
      </c>
      <c r="K224" s="209">
        <f>+E224/I224</f>
        <v>789818.70595498139</v>
      </c>
      <c r="L224" s="170" t="s">
        <v>177</v>
      </c>
      <c r="M224" s="54" t="s">
        <v>835</v>
      </c>
    </row>
    <row r="225" spans="1:18" ht="15" x14ac:dyDescent="0.25">
      <c r="A225" s="175"/>
      <c r="B225" s="343" t="s">
        <v>1126</v>
      </c>
      <c r="C225" s="342" t="s">
        <v>327</v>
      </c>
      <c r="D225" s="341" t="s">
        <v>142</v>
      </c>
      <c r="E225" s="340">
        <v>81153415.859999999</v>
      </c>
      <c r="F225" s="4" t="s">
        <v>1168</v>
      </c>
      <c r="G225" s="339">
        <v>44239</v>
      </c>
      <c r="H225" s="338">
        <v>60000000</v>
      </c>
      <c r="I225" s="219">
        <f>[26]IPC!$T$10/78.05</f>
        <v>1.3569506726457399</v>
      </c>
      <c r="J225" s="323" t="s">
        <v>1128</v>
      </c>
      <c r="K225" s="209">
        <f>+E225/I225</f>
        <v>59805722.857832126</v>
      </c>
      <c r="L225" s="337" t="s">
        <v>1167</v>
      </c>
      <c r="M225" s="54" t="s">
        <v>1162</v>
      </c>
    </row>
    <row r="226" spans="1:18" s="177" customFormat="1" ht="45" x14ac:dyDescent="0.25">
      <c r="A226" s="177" t="s">
        <v>476</v>
      </c>
      <c r="B226" s="373" t="s">
        <v>218</v>
      </c>
      <c r="C226" s="373"/>
      <c r="D226" s="373"/>
      <c r="E226" s="373"/>
      <c r="F226" s="373"/>
      <c r="G226" s="182"/>
      <c r="H226" s="373"/>
      <c r="I226" s="373"/>
      <c r="J226" s="373"/>
      <c r="K226" s="373"/>
      <c r="L226" s="373"/>
      <c r="M226" s="179"/>
      <c r="O226" s="178"/>
      <c r="P226" s="178"/>
      <c r="Q226" s="178"/>
      <c r="R226" s="178"/>
    </row>
    <row r="227" spans="1:18" s="177" customFormat="1" ht="15" x14ac:dyDescent="0.25">
      <c r="A227" s="181" t="s">
        <v>529</v>
      </c>
      <c r="B227" s="138" t="s">
        <v>129</v>
      </c>
      <c r="C227" s="139" t="s">
        <v>130</v>
      </c>
      <c r="D227" s="139" t="s">
        <v>131</v>
      </c>
      <c r="E227" s="851" t="s">
        <v>132</v>
      </c>
      <c r="F227" s="852"/>
      <c r="G227" s="851" t="s">
        <v>133</v>
      </c>
      <c r="H227" s="853"/>
      <c r="I227" s="853"/>
      <c r="J227" s="853"/>
      <c r="K227" s="852"/>
      <c r="L227" s="140" t="s">
        <v>96</v>
      </c>
      <c r="M227" s="140" t="s">
        <v>777</v>
      </c>
      <c r="O227" s="178"/>
      <c r="P227" s="178"/>
      <c r="Q227" s="178"/>
      <c r="R227" s="178"/>
    </row>
    <row r="228" spans="1:18" s="177" customFormat="1" ht="45" x14ac:dyDescent="0.25">
      <c r="A228" s="181" t="s">
        <v>529</v>
      </c>
      <c r="B228" s="138"/>
      <c r="C228" s="139"/>
      <c r="D228" s="139"/>
      <c r="E228" s="141" t="s">
        <v>134</v>
      </c>
      <c r="F228" s="141" t="s">
        <v>135</v>
      </c>
      <c r="G228" s="180" t="s">
        <v>607</v>
      </c>
      <c r="H228" s="141" t="s">
        <v>136</v>
      </c>
      <c r="I228" s="141" t="s">
        <v>137</v>
      </c>
      <c r="J228" s="141" t="s">
        <v>138</v>
      </c>
      <c r="K228" s="141" t="s">
        <v>139</v>
      </c>
      <c r="L228" s="140"/>
      <c r="M228" s="179"/>
      <c r="O228" s="139" t="s">
        <v>795</v>
      </c>
      <c r="P228" s="139" t="str">
        <f>+H228</f>
        <v>Aporte establecido contractual</v>
      </c>
      <c r="Q228" s="139" t="str">
        <f>+E228</f>
        <v>Aporte consignado
pesos corrientes</v>
      </c>
      <c r="R228" s="139" t="str">
        <f>+K228</f>
        <v>Aportes efectuados en pesos del mes de referencia</v>
      </c>
    </row>
    <row r="229" spans="1:18" ht="15" x14ac:dyDescent="0.25">
      <c r="A229" s="175" t="s">
        <v>529</v>
      </c>
      <c r="B229" s="375" t="s">
        <v>140</v>
      </c>
      <c r="C229" s="154" t="s">
        <v>50</v>
      </c>
      <c r="D229" s="55" t="s">
        <v>142</v>
      </c>
      <c r="E229" s="117">
        <v>1137653386</v>
      </c>
      <c r="F229" s="4" t="s">
        <v>219</v>
      </c>
      <c r="G229" s="203">
        <v>42913</v>
      </c>
      <c r="H229" s="161">
        <v>923770253.59000003</v>
      </c>
      <c r="I229" s="39">
        <f>137.71/111.82</f>
        <v>1.2315328206045431</v>
      </c>
      <c r="J229" s="75" t="s">
        <v>184</v>
      </c>
      <c r="K229" s="209">
        <f>+E229/I229</f>
        <v>923770253.59465539</v>
      </c>
      <c r="L229" s="170" t="s">
        <v>177</v>
      </c>
      <c r="N229" s="214">
        <f>+H229-K229+M228</f>
        <v>-4.6553611755371094E-3</v>
      </c>
      <c r="P229" s="216"/>
      <c r="Q229" s="216"/>
      <c r="R229" s="216"/>
    </row>
    <row r="230" spans="1:18" ht="15" x14ac:dyDescent="0.25">
      <c r="A230" s="175" t="s">
        <v>529</v>
      </c>
      <c r="B230" s="375" t="s">
        <v>144</v>
      </c>
      <c r="C230" s="155" t="s">
        <v>50</v>
      </c>
      <c r="D230" s="55" t="s">
        <v>142</v>
      </c>
      <c r="E230" s="117">
        <v>1138975183</v>
      </c>
      <c r="F230" s="4" t="s">
        <v>220</v>
      </c>
      <c r="G230" s="203">
        <v>42942</v>
      </c>
      <c r="H230" s="161">
        <v>923770253.59000003</v>
      </c>
      <c r="I230" s="39">
        <f>137.87/111.82</f>
        <v>1.2329636916472904</v>
      </c>
      <c r="J230" s="75" t="s">
        <v>186</v>
      </c>
      <c r="K230" s="209">
        <f>+E230/I230</f>
        <v>923770254.31972146</v>
      </c>
      <c r="L230" s="170" t="s">
        <v>177</v>
      </c>
      <c r="N230" s="214">
        <f>+H230-K230+N229</f>
        <v>-0.73437678813934326</v>
      </c>
      <c r="P230" s="215">
        <f>SUM(H229:H287)</f>
        <v>106502763204.93999</v>
      </c>
      <c r="Q230" s="215">
        <f>SUM(E229:E287)</f>
        <v>140786563082.60004</v>
      </c>
      <c r="R230" s="215">
        <f>SUM(K229:K287)</f>
        <v>108383058611.42215</v>
      </c>
    </row>
    <row r="231" spans="1:18" ht="15" x14ac:dyDescent="0.25">
      <c r="A231" s="175" t="s">
        <v>529</v>
      </c>
      <c r="B231" s="375" t="s">
        <v>145</v>
      </c>
      <c r="C231" s="155" t="s">
        <v>50</v>
      </c>
      <c r="D231" s="55" t="s">
        <v>142</v>
      </c>
      <c r="E231" s="117">
        <v>1139966530</v>
      </c>
      <c r="F231" s="4" t="s">
        <v>221</v>
      </c>
      <c r="G231" s="203">
        <v>42984</v>
      </c>
      <c r="H231" s="161">
        <v>923770253.59000003</v>
      </c>
      <c r="I231" s="39">
        <f>137.99/111.82</f>
        <v>1.2340368449293508</v>
      </c>
      <c r="J231" s="75" t="s">
        <v>222</v>
      </c>
      <c r="K231" s="209">
        <f>+E231/I231</f>
        <v>923770254.25465608</v>
      </c>
      <c r="L231" s="170" t="s">
        <v>177</v>
      </c>
      <c r="N231" s="214">
        <f>+H231-K231+N230</f>
        <v>-1.3990328311920166</v>
      </c>
    </row>
    <row r="232" spans="1:18" ht="15" x14ac:dyDescent="0.25">
      <c r="A232" s="175" t="s">
        <v>529</v>
      </c>
      <c r="B232" s="375" t="s">
        <v>146</v>
      </c>
      <c r="C232" s="155" t="s">
        <v>50</v>
      </c>
      <c r="D232" s="55" t="s">
        <v>142</v>
      </c>
      <c r="E232" s="117">
        <v>1140462203</v>
      </c>
      <c r="F232" s="4" t="s">
        <v>223</v>
      </c>
      <c r="G232" s="203">
        <v>43017</v>
      </c>
      <c r="H232" s="161">
        <v>923770253.59000003</v>
      </c>
      <c r="I232" s="39">
        <f>138.05/111.82</f>
        <v>1.2345734215703812</v>
      </c>
      <c r="J232" s="75" t="s">
        <v>224</v>
      </c>
      <c r="K232" s="209">
        <f>+E232/I232</f>
        <v>923770253.81716752</v>
      </c>
      <c r="L232" s="170" t="s">
        <v>177</v>
      </c>
      <c r="N232" s="214">
        <f>+H232-K232+N231</f>
        <v>-1.6262003183364868</v>
      </c>
    </row>
    <row r="233" spans="1:18" ht="15" x14ac:dyDescent="0.25">
      <c r="A233" s="175" t="s">
        <v>529</v>
      </c>
      <c r="B233" s="375" t="s">
        <v>147</v>
      </c>
      <c r="C233" s="155" t="s">
        <v>50</v>
      </c>
      <c r="D233" s="55" t="s">
        <v>142</v>
      </c>
      <c r="E233" s="117">
        <v>1140627428</v>
      </c>
      <c r="F233" s="4" t="s">
        <v>225</v>
      </c>
      <c r="G233" s="203">
        <v>43053</v>
      </c>
      <c r="H233" s="161">
        <v>923770253.59000003</v>
      </c>
      <c r="I233" s="39">
        <f>138.07/111.82</f>
        <v>1.2347522804507245</v>
      </c>
      <c r="J233" s="75" t="s">
        <v>226</v>
      </c>
      <c r="K233" s="209">
        <f>+E233/I233</f>
        <v>923770254.21134198</v>
      </c>
      <c r="L233" s="170" t="s">
        <v>177</v>
      </c>
      <c r="N233" s="214">
        <f>+H233-K233+N232</f>
        <v>-2.2475422620773315</v>
      </c>
      <c r="O233" s="865"/>
      <c r="P233" s="865"/>
      <c r="Q233" s="865"/>
    </row>
    <row r="234" spans="1:18" ht="15" x14ac:dyDescent="0.25">
      <c r="A234" s="175" t="s">
        <v>529</v>
      </c>
      <c r="B234" s="375" t="s">
        <v>148</v>
      </c>
      <c r="C234" s="155" t="s">
        <v>50</v>
      </c>
      <c r="D234" s="55" t="s">
        <v>142</v>
      </c>
      <c r="E234" s="117">
        <v>1142692734</v>
      </c>
      <c r="F234" s="4" t="s">
        <v>227</v>
      </c>
      <c r="G234" s="203">
        <v>43023</v>
      </c>
      <c r="H234" s="161">
        <v>923770253.59000003</v>
      </c>
      <c r="I234" s="39">
        <f>138.32/111.82</f>
        <v>1.2369880164550171</v>
      </c>
      <c r="J234" s="75" t="s">
        <v>228</v>
      </c>
      <c r="K234" s="209">
        <f>+E234/I234</f>
        <v>923770253.87420464</v>
      </c>
      <c r="L234" s="170" t="s">
        <v>177</v>
      </c>
      <c r="N234" s="214">
        <f>+H234-K234+N233</f>
        <v>-2.5317468643188477</v>
      </c>
    </row>
    <row r="235" spans="1:18" ht="15" x14ac:dyDescent="0.25">
      <c r="A235" s="175" t="s">
        <v>529</v>
      </c>
      <c r="B235" s="375" t="s">
        <v>149</v>
      </c>
      <c r="C235" s="155" t="s">
        <v>50</v>
      </c>
      <c r="D235" s="55" t="s">
        <v>142</v>
      </c>
      <c r="E235" s="117">
        <v>1147071184</v>
      </c>
      <c r="F235" s="4" t="s">
        <v>229</v>
      </c>
      <c r="G235" s="203">
        <v>43116</v>
      </c>
      <c r="H235" s="161">
        <v>923770253.59000003</v>
      </c>
      <c r="I235" s="39">
        <f>138.85/111.82</f>
        <v>1.2417277767841173</v>
      </c>
      <c r="J235" s="75" t="s">
        <v>230</v>
      </c>
      <c r="K235" s="209">
        <f>+E235/I235</f>
        <v>923770254.19431043</v>
      </c>
      <c r="L235" s="170" t="s">
        <v>177</v>
      </c>
      <c r="M235" s="1" t="s">
        <v>929</v>
      </c>
      <c r="N235" s="214">
        <f>+H235-K235+N234</f>
        <v>-3.1360572576522827</v>
      </c>
    </row>
    <row r="236" spans="1:18" ht="15" x14ac:dyDescent="0.25">
      <c r="A236" s="175" t="s">
        <v>529</v>
      </c>
      <c r="B236" s="375" t="s">
        <v>150</v>
      </c>
      <c r="C236" s="155" t="s">
        <v>50</v>
      </c>
      <c r="D236" s="55" t="s">
        <v>142</v>
      </c>
      <c r="E236" s="117">
        <v>1154258450</v>
      </c>
      <c r="F236" s="4" t="s">
        <v>231</v>
      </c>
      <c r="G236" s="203">
        <v>43150</v>
      </c>
      <c r="H236" s="161">
        <v>923770253.59000003</v>
      </c>
      <c r="I236" s="39">
        <f>139.72/111.82</f>
        <v>1.2495081380790556</v>
      </c>
      <c r="J236" s="75" t="s">
        <v>232</v>
      </c>
      <c r="K236" s="209">
        <f>+E236/I236</f>
        <v>923770253.9292872</v>
      </c>
      <c r="L236" s="170" t="s">
        <v>177</v>
      </c>
      <c r="M236" s="1" t="s">
        <v>909</v>
      </c>
      <c r="N236" s="214">
        <f>+H236-K236+N235</f>
        <v>-3.4753444194793701</v>
      </c>
    </row>
    <row r="237" spans="1:18" ht="15" x14ac:dyDescent="0.25">
      <c r="A237" s="175" t="s">
        <v>529</v>
      </c>
      <c r="B237" s="375" t="s">
        <v>178</v>
      </c>
      <c r="C237" s="155" t="s">
        <v>50</v>
      </c>
      <c r="D237" s="55" t="s">
        <v>142</v>
      </c>
      <c r="E237" s="117">
        <v>1162437063</v>
      </c>
      <c r="F237" s="4" t="s">
        <v>233</v>
      </c>
      <c r="G237" s="203">
        <v>43171</v>
      </c>
      <c r="H237" s="161">
        <v>923770253.59000003</v>
      </c>
      <c r="I237" s="39">
        <f>140.71/111.82</f>
        <v>1.2583616526560546</v>
      </c>
      <c r="J237" s="75" t="s">
        <v>234</v>
      </c>
      <c r="K237" s="209">
        <f>+E237/I237</f>
        <v>923770253.60429239</v>
      </c>
      <c r="L237" s="170" t="s">
        <v>177</v>
      </c>
      <c r="M237" s="1" t="s">
        <v>928</v>
      </c>
      <c r="N237" s="214">
        <f>+H237-K237+N236</f>
        <v>-3.4896367788314819</v>
      </c>
    </row>
    <row r="238" spans="1:18" ht="15" x14ac:dyDescent="0.25">
      <c r="A238" s="175" t="s">
        <v>529</v>
      </c>
      <c r="B238" s="375" t="s">
        <v>179</v>
      </c>
      <c r="C238" s="155" t="s">
        <v>50</v>
      </c>
      <c r="D238" s="55" t="s">
        <v>142</v>
      </c>
      <c r="E238" s="117">
        <v>1165245880</v>
      </c>
      <c r="F238" s="4" t="s">
        <v>235</v>
      </c>
      <c r="G238" s="203">
        <v>43209</v>
      </c>
      <c r="H238" s="161">
        <v>923770253.59000003</v>
      </c>
      <c r="I238" s="77">
        <f>141.05/111.82</f>
        <v>1.2614022536218925</v>
      </c>
      <c r="J238" s="75" t="s">
        <v>236</v>
      </c>
      <c r="K238" s="209">
        <f>+E238/I238</f>
        <v>923770253.82204878</v>
      </c>
      <c r="L238" s="170" t="s">
        <v>177</v>
      </c>
      <c r="M238" s="1" t="s">
        <v>927</v>
      </c>
      <c r="N238" s="214">
        <f>+H238-K238+N237</f>
        <v>-3.721685528755188</v>
      </c>
    </row>
    <row r="239" spans="1:18" ht="15" x14ac:dyDescent="0.25">
      <c r="A239" s="175" t="s">
        <v>529</v>
      </c>
      <c r="B239" s="375" t="s">
        <v>180</v>
      </c>
      <c r="C239" s="155" t="s">
        <v>50</v>
      </c>
      <c r="D239" s="55" t="s">
        <v>142</v>
      </c>
      <c r="E239" s="117">
        <v>1170615677</v>
      </c>
      <c r="F239" s="4" t="s">
        <v>292</v>
      </c>
      <c r="G239" s="203">
        <v>43237</v>
      </c>
      <c r="H239" s="161">
        <v>923770253.59000003</v>
      </c>
      <c r="I239" s="77">
        <f>141.7/111.82</f>
        <v>1.2672151672330532</v>
      </c>
      <c r="J239" s="75" t="s">
        <v>199</v>
      </c>
      <c r="K239" s="209">
        <f>+E239/I239</f>
        <v>923770254.07297099</v>
      </c>
      <c r="L239" s="170" t="s">
        <v>177</v>
      </c>
      <c r="M239" s="1" t="s">
        <v>905</v>
      </c>
      <c r="N239" s="214">
        <f>+H239-K239+N238</f>
        <v>-4.2046564817428589</v>
      </c>
    </row>
    <row r="240" spans="1:18" ht="15" x14ac:dyDescent="0.25">
      <c r="A240" s="175" t="s">
        <v>529</v>
      </c>
      <c r="B240" s="375" t="s">
        <v>181</v>
      </c>
      <c r="C240" s="155" t="s">
        <v>50</v>
      </c>
      <c r="D240" s="55" t="s">
        <v>142</v>
      </c>
      <c r="E240" s="117">
        <v>1173589718</v>
      </c>
      <c r="F240" s="4" t="s">
        <v>293</v>
      </c>
      <c r="G240" s="203">
        <v>43279</v>
      </c>
      <c r="H240" s="161">
        <v>923770253.59000003</v>
      </c>
      <c r="I240" s="77">
        <f>142.06/111.82</f>
        <v>1.2704346270792346</v>
      </c>
      <c r="J240" s="75" t="s">
        <v>294</v>
      </c>
      <c r="K240" s="209">
        <f>+E240/I240</f>
        <v>923770253.88399255</v>
      </c>
      <c r="L240" s="170" t="s">
        <v>177</v>
      </c>
      <c r="M240" s="1" t="s">
        <v>926</v>
      </c>
      <c r="N240" s="214">
        <f>+H240-K240+N239</f>
        <v>-4.498649001121521</v>
      </c>
    </row>
    <row r="241" spans="1:14" ht="15" x14ac:dyDescent="0.25">
      <c r="A241" s="175" t="s">
        <v>529</v>
      </c>
      <c r="B241" s="375" t="s">
        <v>182</v>
      </c>
      <c r="C241" s="155" t="s">
        <v>50</v>
      </c>
      <c r="D241" s="55" t="s">
        <v>142</v>
      </c>
      <c r="E241" s="117">
        <v>1175407188</v>
      </c>
      <c r="F241" s="4" t="s">
        <v>299</v>
      </c>
      <c r="G241" s="203">
        <v>43305</v>
      </c>
      <c r="H241" s="161">
        <v>923770253.59000003</v>
      </c>
      <c r="I241" s="77">
        <f>142.28/111.82</f>
        <v>1.272402074763012</v>
      </c>
      <c r="J241" s="75" t="s">
        <v>300</v>
      </c>
      <c r="K241" s="209">
        <f>+E241/I241</f>
        <v>923770254.16193414</v>
      </c>
      <c r="L241" s="170" t="s">
        <v>177</v>
      </c>
      <c r="M241" s="1" t="s">
        <v>903</v>
      </c>
      <c r="N241" s="214">
        <f>+H241-K241+N240</f>
        <v>-5.0705831050872803</v>
      </c>
    </row>
    <row r="242" spans="1:14" ht="15" x14ac:dyDescent="0.25">
      <c r="A242" s="175" t="s">
        <v>529</v>
      </c>
      <c r="B242" s="375" t="s">
        <v>183</v>
      </c>
      <c r="C242" s="155" t="s">
        <v>50</v>
      </c>
      <c r="D242" s="55" t="s">
        <v>142</v>
      </c>
      <c r="E242" s="117">
        <v>1173920167</v>
      </c>
      <c r="F242" s="4" t="s">
        <v>302</v>
      </c>
      <c r="G242" s="203">
        <v>43333</v>
      </c>
      <c r="H242" s="161">
        <v>923770253.59000003</v>
      </c>
      <c r="I242" s="77">
        <f>142.1/111.82</f>
        <v>1.2707923448399214</v>
      </c>
      <c r="J242" s="75" t="s">
        <v>303</v>
      </c>
      <c r="K242" s="209">
        <f>+E242/I242</f>
        <v>923770253.86305404</v>
      </c>
      <c r="L242" s="170" t="s">
        <v>177</v>
      </c>
      <c r="M242" s="1" t="s">
        <v>925</v>
      </c>
      <c r="N242" s="214">
        <f>+H242-K242+N241</f>
        <v>-5.3436371088027954</v>
      </c>
    </row>
    <row r="243" spans="1:14" ht="28.5" x14ac:dyDescent="0.25">
      <c r="A243" s="175" t="s">
        <v>529</v>
      </c>
      <c r="B243" s="375" t="s">
        <v>185</v>
      </c>
      <c r="C243" s="155" t="s">
        <v>50</v>
      </c>
      <c r="D243" s="55" t="s">
        <v>142</v>
      </c>
      <c r="E243" s="117">
        <v>1177224657</v>
      </c>
      <c r="F243" s="4" t="s">
        <v>313</v>
      </c>
      <c r="G243" s="203">
        <v>43384</v>
      </c>
      <c r="H243" s="161">
        <v>923770253.59000003</v>
      </c>
      <c r="I243" s="77">
        <f>142.5/111.82</f>
        <v>1.2743695224467895</v>
      </c>
      <c r="J243" s="75" t="s">
        <v>316</v>
      </c>
      <c r="K243" s="209">
        <f>+E243/I243</f>
        <v>923770253.65431583</v>
      </c>
      <c r="L243" s="170" t="s">
        <v>653</v>
      </c>
      <c r="M243" s="1" t="s">
        <v>900</v>
      </c>
      <c r="N243" s="214">
        <f>+H243-K243+N242</f>
        <v>-5.4079529047012329</v>
      </c>
    </row>
    <row r="244" spans="1:14" ht="15" x14ac:dyDescent="0.25">
      <c r="A244" s="175" t="s">
        <v>529</v>
      </c>
      <c r="B244" s="375" t="s">
        <v>187</v>
      </c>
      <c r="C244" s="155" t="s">
        <v>50</v>
      </c>
      <c r="D244" s="55" t="s">
        <v>142</v>
      </c>
      <c r="E244" s="117">
        <v>1177224657</v>
      </c>
      <c r="F244" s="4" t="s">
        <v>317</v>
      </c>
      <c r="G244" s="203">
        <v>43384</v>
      </c>
      <c r="H244" s="161">
        <v>923770253.59000003</v>
      </c>
      <c r="I244" s="77">
        <f>142.5/111.82</f>
        <v>1.2743695224467895</v>
      </c>
      <c r="J244" s="75" t="s">
        <v>318</v>
      </c>
      <c r="K244" s="209">
        <f>+E244/I244</f>
        <v>923770253.65431583</v>
      </c>
      <c r="L244" s="170" t="s">
        <v>177</v>
      </c>
      <c r="M244" s="1" t="s">
        <v>900</v>
      </c>
      <c r="N244" s="214">
        <f>+H244-K244+N243</f>
        <v>-5.4722687005996704</v>
      </c>
    </row>
    <row r="245" spans="1:14" ht="15" x14ac:dyDescent="0.25">
      <c r="A245" s="175" t="s">
        <v>529</v>
      </c>
      <c r="B245" s="375" t="s">
        <v>189</v>
      </c>
      <c r="C245" s="155" t="s">
        <v>50</v>
      </c>
      <c r="D245" s="55" t="s">
        <v>142</v>
      </c>
      <c r="E245" s="117">
        <v>1178629066</v>
      </c>
      <c r="F245" s="4" t="s">
        <v>321</v>
      </c>
      <c r="G245" s="203">
        <v>43431</v>
      </c>
      <c r="H245" s="161">
        <v>923770253.59000003</v>
      </c>
      <c r="I245" s="77">
        <f>142.67/111.82</f>
        <v>1.2758898229297084</v>
      </c>
      <c r="J245" s="75" t="s">
        <v>318</v>
      </c>
      <c r="K245" s="209">
        <f>+E245/I245</f>
        <v>923770254.15378153</v>
      </c>
      <c r="L245" s="170" t="s">
        <v>177</v>
      </c>
      <c r="M245" s="1" t="s">
        <v>898</v>
      </c>
      <c r="N245" s="214">
        <f>+H245-K245+N244</f>
        <v>-6.0360502004623413</v>
      </c>
    </row>
    <row r="246" spans="1:14" ht="15" x14ac:dyDescent="0.25">
      <c r="A246" s="175" t="s">
        <v>529</v>
      </c>
      <c r="B246" s="375" t="s">
        <v>191</v>
      </c>
      <c r="C246" s="155" t="s">
        <v>50</v>
      </c>
      <c r="D246" s="55" t="s">
        <v>142</v>
      </c>
      <c r="E246" s="117">
        <v>1180033474</v>
      </c>
      <c r="F246" s="4" t="s">
        <v>329</v>
      </c>
      <c r="G246" s="203">
        <v>43445</v>
      </c>
      <c r="H246" s="161">
        <v>923770253.59000003</v>
      </c>
      <c r="I246" s="77">
        <f>142.84/111.82</f>
        <v>1.2774101234126276</v>
      </c>
      <c r="J246" s="75" t="s">
        <v>328</v>
      </c>
      <c r="K246" s="209">
        <f>+E246/I246</f>
        <v>923770253.86922419</v>
      </c>
      <c r="L246" s="170" t="s">
        <v>177</v>
      </c>
      <c r="M246" s="1" t="s">
        <v>924</v>
      </c>
      <c r="N246" s="214">
        <f>+H246-K246+N245</f>
        <v>-6.3152743577957153</v>
      </c>
    </row>
    <row r="247" spans="1:14" ht="15" x14ac:dyDescent="0.25">
      <c r="A247" s="175" t="s">
        <v>529</v>
      </c>
      <c r="B247" s="375" t="s">
        <v>245</v>
      </c>
      <c r="C247" s="155" t="s">
        <v>50</v>
      </c>
      <c r="D247" s="55" t="s">
        <v>142</v>
      </c>
      <c r="E247" s="117">
        <v>1180033474</v>
      </c>
      <c r="F247" s="4" t="s">
        <v>330</v>
      </c>
      <c r="G247" s="203">
        <v>43445</v>
      </c>
      <c r="H247" s="161">
        <v>923770253.59000003</v>
      </c>
      <c r="I247" s="77">
        <f>142.84/111.82</f>
        <v>1.2774101234126276</v>
      </c>
      <c r="J247" s="75" t="s">
        <v>328</v>
      </c>
      <c r="K247" s="209">
        <f>+E247/I247</f>
        <v>923770253.86922419</v>
      </c>
      <c r="L247" s="170" t="s">
        <v>177</v>
      </c>
      <c r="M247" s="1" t="s">
        <v>924</v>
      </c>
      <c r="N247" s="214">
        <f>+H247-K247+N246</f>
        <v>-6.5944985151290894</v>
      </c>
    </row>
    <row r="248" spans="1:14" ht="15" x14ac:dyDescent="0.25">
      <c r="A248" s="175" t="s">
        <v>529</v>
      </c>
      <c r="B248" s="375" t="s">
        <v>246</v>
      </c>
      <c r="C248" s="155" t="s">
        <v>50</v>
      </c>
      <c r="D248" s="55" t="s">
        <v>142</v>
      </c>
      <c r="E248" s="117">
        <v>1190690455</v>
      </c>
      <c r="F248" s="4" t="s">
        <v>338</v>
      </c>
      <c r="G248" s="203">
        <v>43515</v>
      </c>
      <c r="H248" s="161">
        <v>923770253.59000003</v>
      </c>
      <c r="I248" s="77">
        <f>100.6/78.05</f>
        <v>1.2889173606662396</v>
      </c>
      <c r="J248" s="75" t="s">
        <v>339</v>
      </c>
      <c r="K248" s="209">
        <f>+E248/I248</f>
        <v>923791153.20825052</v>
      </c>
      <c r="L248" s="170" t="s">
        <v>177</v>
      </c>
      <c r="M248" s="1" t="s">
        <v>923</v>
      </c>
      <c r="N248" s="214">
        <f>+H248-K248+N247</f>
        <v>-20906.212749004364</v>
      </c>
    </row>
    <row r="249" spans="1:14" ht="15" x14ac:dyDescent="0.25">
      <c r="A249" s="175" t="s">
        <v>529</v>
      </c>
      <c r="B249" s="375" t="s">
        <v>247</v>
      </c>
      <c r="C249" s="155" t="s">
        <v>50</v>
      </c>
      <c r="D249" s="55" t="s">
        <v>142</v>
      </c>
      <c r="E249" s="117">
        <v>1197547273</v>
      </c>
      <c r="F249" s="4" t="s">
        <v>343</v>
      </c>
      <c r="G249" s="203">
        <v>43544</v>
      </c>
      <c r="H249" s="161">
        <v>923770253.59000003</v>
      </c>
      <c r="I249" s="77">
        <f>101.18/78.05</f>
        <v>1.2963484945547727</v>
      </c>
      <c r="J249" s="75" t="s">
        <v>344</v>
      </c>
      <c r="K249" s="209">
        <f>+E249/I249</f>
        <v>923784983.76803708</v>
      </c>
      <c r="L249" s="170" t="s">
        <v>177</v>
      </c>
      <c r="M249" s="1" t="s">
        <v>922</v>
      </c>
      <c r="N249" s="214">
        <f>+H249-K249+N248</f>
        <v>-35636.39078605175</v>
      </c>
    </row>
    <row r="250" spans="1:14" ht="15" x14ac:dyDescent="0.25">
      <c r="A250" s="175" t="s">
        <v>529</v>
      </c>
      <c r="B250" s="375" t="s">
        <v>248</v>
      </c>
      <c r="C250" s="155" t="s">
        <v>50</v>
      </c>
      <c r="D250" s="55" t="s">
        <v>142</v>
      </c>
      <c r="E250" s="117">
        <v>1202759891</v>
      </c>
      <c r="F250" s="4" t="s">
        <v>399</v>
      </c>
      <c r="G250" s="203">
        <v>43580</v>
      </c>
      <c r="H250" s="161">
        <v>923770253.59000003</v>
      </c>
      <c r="I250" s="77">
        <f>101.62/78.05</f>
        <v>1.3019859064702115</v>
      </c>
      <c r="J250" s="75" t="s">
        <v>346</v>
      </c>
      <c r="K250" s="209">
        <f>+E250/I250</f>
        <v>923788717.6987797</v>
      </c>
      <c r="L250" s="170" t="s">
        <v>177</v>
      </c>
      <c r="N250" s="214">
        <f>+H250-K250+N249</f>
        <v>-54100.499565720558</v>
      </c>
    </row>
    <row r="251" spans="1:14" ht="42.75" x14ac:dyDescent="0.25">
      <c r="A251" s="175" t="s">
        <v>529</v>
      </c>
      <c r="B251" s="375" t="s">
        <v>249</v>
      </c>
      <c r="C251" s="155" t="s">
        <v>50</v>
      </c>
      <c r="D251" s="55" t="s">
        <v>142</v>
      </c>
      <c r="E251" s="117">
        <v>1208653662.2483025</v>
      </c>
      <c r="F251" s="202" t="s">
        <v>419</v>
      </c>
      <c r="G251" s="176">
        <v>43612</v>
      </c>
      <c r="H251" s="161">
        <v>923770254</v>
      </c>
      <c r="I251" s="77">
        <f>102.12/78.05</f>
        <v>1.3083920563741192</v>
      </c>
      <c r="J251" s="75" t="s">
        <v>400</v>
      </c>
      <c r="K251" s="209">
        <f>+E251/I251</f>
        <v>923770254.00000012</v>
      </c>
      <c r="L251" s="170" t="s">
        <v>455</v>
      </c>
      <c r="M251" s="1" t="s">
        <v>921</v>
      </c>
      <c r="N251" s="214">
        <f>+H251-K251+N250</f>
        <v>-54100.499565839767</v>
      </c>
    </row>
    <row r="252" spans="1:14" ht="15" x14ac:dyDescent="0.25">
      <c r="A252" s="175" t="s">
        <v>529</v>
      </c>
      <c r="B252" s="375" t="s">
        <v>654</v>
      </c>
      <c r="C252" s="155" t="s">
        <v>50</v>
      </c>
      <c r="D252" s="55" t="s">
        <v>142</v>
      </c>
      <c r="E252" s="117">
        <v>1208653662.2483025</v>
      </c>
      <c r="F252" s="202"/>
      <c r="G252" s="176">
        <v>43612</v>
      </c>
      <c r="H252" s="161">
        <v>923770254</v>
      </c>
      <c r="I252" s="77">
        <f>102.12/78.05</f>
        <v>1.3083920563741192</v>
      </c>
      <c r="J252" s="75" t="s">
        <v>400</v>
      </c>
      <c r="K252" s="209">
        <f>+E252/I252</f>
        <v>923770254.00000012</v>
      </c>
      <c r="L252" s="170"/>
      <c r="M252" s="1" t="s">
        <v>921</v>
      </c>
      <c r="N252" s="214">
        <f>+H252-K252+N251</f>
        <v>-54100.499565958977</v>
      </c>
    </row>
    <row r="253" spans="1:14" ht="15" x14ac:dyDescent="0.25">
      <c r="A253" s="175" t="s">
        <v>529</v>
      </c>
      <c r="B253" s="375" t="s">
        <v>655</v>
      </c>
      <c r="C253" s="155" t="s">
        <v>50</v>
      </c>
      <c r="D253" s="55" t="s">
        <v>142</v>
      </c>
      <c r="E253" s="117">
        <v>1104224629.5033953</v>
      </c>
      <c r="F253" s="202"/>
      <c r="G253" s="176">
        <v>43612</v>
      </c>
      <c r="H253" s="161">
        <v>852687174</v>
      </c>
      <c r="I253" s="77">
        <f>102.12/78.05</f>
        <v>1.3083920563741192</v>
      </c>
      <c r="J253" s="75" t="s">
        <v>400</v>
      </c>
      <c r="K253" s="209">
        <f>+E253/I253</f>
        <v>843955467.41813552</v>
      </c>
      <c r="L253" s="170"/>
      <c r="M253" s="1" t="s">
        <v>921</v>
      </c>
      <c r="N253" s="214">
        <f>+H253-K253+N252</f>
        <v>8677606.0822985172</v>
      </c>
    </row>
    <row r="254" spans="1:14" ht="28.5" x14ac:dyDescent="0.25">
      <c r="A254" s="175" t="s">
        <v>529</v>
      </c>
      <c r="B254" s="375" t="s">
        <v>656</v>
      </c>
      <c r="C254" s="155" t="s">
        <v>50</v>
      </c>
      <c r="D254" s="55" t="s">
        <v>142</v>
      </c>
      <c r="E254" s="117">
        <v>11552029.939495197</v>
      </c>
      <c r="F254" s="4" t="s">
        <v>657</v>
      </c>
      <c r="G254" s="203">
        <v>43748</v>
      </c>
      <c r="H254" s="161"/>
      <c r="I254" s="77">
        <f>103.26/78.05</f>
        <v>1.322998078155029</v>
      </c>
      <c r="J254" s="75" t="s">
        <v>460</v>
      </c>
      <c r="K254" s="209">
        <f>+E254/I254</f>
        <v>8731705.7599999998</v>
      </c>
      <c r="L254" s="170" t="s">
        <v>658</v>
      </c>
      <c r="M254" s="1" t="s">
        <v>920</v>
      </c>
      <c r="N254" s="214">
        <f>+H254-K254+N253</f>
        <v>-54099.677701482549</v>
      </c>
    </row>
    <row r="255" spans="1:14" ht="42.75" x14ac:dyDescent="0.25">
      <c r="A255" s="175" t="s">
        <v>529</v>
      </c>
      <c r="B255" s="375" t="s">
        <v>426</v>
      </c>
      <c r="C255" s="155" t="s">
        <v>50</v>
      </c>
      <c r="D255" s="55" t="s">
        <v>142</v>
      </c>
      <c r="E255" s="117">
        <v>1128103492.4694428</v>
      </c>
      <c r="F255" s="4" t="s">
        <v>427</v>
      </c>
      <c r="G255" s="203">
        <v>43748</v>
      </c>
      <c r="H255" s="161">
        <v>852687174</v>
      </c>
      <c r="I255" s="77">
        <f>103.26/78.05</f>
        <v>1.322998078155029</v>
      </c>
      <c r="J255" s="75" t="s">
        <v>460</v>
      </c>
      <c r="K255" s="209">
        <f>+E255/I255</f>
        <v>852687174</v>
      </c>
      <c r="L255" s="170" t="s">
        <v>461</v>
      </c>
      <c r="M255" s="1" t="s">
        <v>920</v>
      </c>
      <c r="N255" s="214">
        <f>+H255-K255+N254</f>
        <v>-54099.677701482549</v>
      </c>
    </row>
    <row r="256" spans="1:14" ht="15" x14ac:dyDescent="0.25">
      <c r="A256" s="175" t="s">
        <v>529</v>
      </c>
      <c r="B256" s="375" t="s">
        <v>456</v>
      </c>
      <c r="C256" s="155" t="s">
        <v>50</v>
      </c>
      <c r="D256" s="55" t="s">
        <v>142</v>
      </c>
      <c r="E256" s="117">
        <v>1128103492.4694428</v>
      </c>
      <c r="F256" s="4" t="s">
        <v>457</v>
      </c>
      <c r="G256" s="203">
        <v>43748</v>
      </c>
      <c r="H256" s="161">
        <v>852687174</v>
      </c>
      <c r="I256" s="77">
        <f>103.26/78.05</f>
        <v>1.322998078155029</v>
      </c>
      <c r="J256" s="75" t="s">
        <v>460</v>
      </c>
      <c r="K256" s="209">
        <f>+E256/I256</f>
        <v>852687174</v>
      </c>
      <c r="L256" s="170"/>
      <c r="M256" s="1" t="s">
        <v>920</v>
      </c>
      <c r="N256" s="214">
        <f>+H256-K256+N255</f>
        <v>-54099.677701482549</v>
      </c>
    </row>
    <row r="257" spans="1:14" ht="15" x14ac:dyDescent="0.25">
      <c r="A257" s="175" t="s">
        <v>529</v>
      </c>
      <c r="B257" s="375" t="s">
        <v>458</v>
      </c>
      <c r="C257" s="155" t="s">
        <v>50</v>
      </c>
      <c r="D257" s="55" t="s">
        <v>142</v>
      </c>
      <c r="E257" s="117">
        <v>1128103492.4694428</v>
      </c>
      <c r="F257" s="4" t="s">
        <v>459</v>
      </c>
      <c r="G257" s="203">
        <v>43748</v>
      </c>
      <c r="H257" s="161">
        <v>852687174</v>
      </c>
      <c r="I257" s="77">
        <f>103.26/78.05</f>
        <v>1.322998078155029</v>
      </c>
      <c r="J257" s="75" t="s">
        <v>460</v>
      </c>
      <c r="K257" s="209">
        <f>+E257/I257</f>
        <v>852687174</v>
      </c>
      <c r="L257" s="170"/>
      <c r="M257" s="1" t="s">
        <v>920</v>
      </c>
      <c r="N257" s="214">
        <f>+H257-K257+N256</f>
        <v>-54099.677701482549</v>
      </c>
    </row>
    <row r="258" spans="1:14" ht="15" x14ac:dyDescent="0.25">
      <c r="A258" s="175" t="s">
        <v>529</v>
      </c>
      <c r="B258" s="375" t="s">
        <v>462</v>
      </c>
      <c r="C258" s="155" t="s">
        <v>50</v>
      </c>
      <c r="D258" s="55" t="s">
        <v>142</v>
      </c>
      <c r="E258" s="117">
        <v>1128103492.4694428</v>
      </c>
      <c r="F258" s="4" t="s">
        <v>463</v>
      </c>
      <c r="G258" s="203">
        <v>43748</v>
      </c>
      <c r="H258" s="161">
        <v>852687174</v>
      </c>
      <c r="I258" s="77">
        <f>103.26/78.05</f>
        <v>1.322998078155029</v>
      </c>
      <c r="J258" s="75" t="s">
        <v>460</v>
      </c>
      <c r="K258" s="209">
        <f>+E258/I258</f>
        <v>852687174</v>
      </c>
      <c r="L258" s="170"/>
      <c r="M258" s="1" t="s">
        <v>920</v>
      </c>
      <c r="N258" s="214">
        <f>+H258-K258+N257</f>
        <v>-54099.677701482549</v>
      </c>
    </row>
    <row r="259" spans="1:14" ht="15" x14ac:dyDescent="0.25">
      <c r="A259" s="175" t="s">
        <v>529</v>
      </c>
      <c r="B259" s="375" t="s">
        <v>464</v>
      </c>
      <c r="C259" s="155" t="s">
        <v>50</v>
      </c>
      <c r="D259" s="55" t="s">
        <v>142</v>
      </c>
      <c r="E259" s="117">
        <v>1128103492.4694428</v>
      </c>
      <c r="F259" s="4" t="s">
        <v>465</v>
      </c>
      <c r="G259" s="203">
        <v>43748</v>
      </c>
      <c r="H259" s="161">
        <v>852687174</v>
      </c>
      <c r="I259" s="77">
        <f>103.26/78.05</f>
        <v>1.322998078155029</v>
      </c>
      <c r="J259" s="75" t="s">
        <v>460</v>
      </c>
      <c r="K259" s="209">
        <f>+E259/I259</f>
        <v>852687174</v>
      </c>
      <c r="L259" s="170"/>
      <c r="M259" s="1" t="s">
        <v>920</v>
      </c>
      <c r="N259" s="214">
        <f>+H259-K259+N258</f>
        <v>-54099.677701482549</v>
      </c>
    </row>
    <row r="260" spans="1:14" ht="15" x14ac:dyDescent="0.25">
      <c r="A260" s="175" t="s">
        <v>529</v>
      </c>
      <c r="B260" s="375" t="s">
        <v>659</v>
      </c>
      <c r="C260" s="155" t="s">
        <v>50</v>
      </c>
      <c r="D260" s="55" t="s">
        <v>142</v>
      </c>
      <c r="E260" s="117">
        <f>142220.912723917</f>
        <v>142220.91272391699</v>
      </c>
      <c r="F260" s="4"/>
      <c r="G260" s="203">
        <v>43748</v>
      </c>
      <c r="H260" s="161"/>
      <c r="I260" s="77">
        <f>103.26/78.05</f>
        <v>1.322998078155029</v>
      </c>
      <c r="J260" s="75" t="s">
        <v>460</v>
      </c>
      <c r="K260" s="209">
        <f>+E260/I260</f>
        <v>107498.95640230215</v>
      </c>
      <c r="L260" s="170"/>
      <c r="M260" s="1" t="s">
        <v>920</v>
      </c>
      <c r="N260" s="214">
        <f>+H260-K260+N259</f>
        <v>-161598.63410378469</v>
      </c>
    </row>
    <row r="261" spans="1:14" ht="15" x14ac:dyDescent="0.25">
      <c r="A261" s="175" t="s">
        <v>529</v>
      </c>
      <c r="B261" s="375" t="s">
        <v>660</v>
      </c>
      <c r="C261" s="155" t="s">
        <v>50</v>
      </c>
      <c r="D261" s="55" t="s">
        <v>142</v>
      </c>
      <c r="E261" s="117">
        <v>1134002930</v>
      </c>
      <c r="F261" s="4" t="s">
        <v>661</v>
      </c>
      <c r="G261" s="203">
        <v>43844</v>
      </c>
      <c r="H261" s="161">
        <v>852687174</v>
      </c>
      <c r="I261" s="77">
        <f>103.8/78.05</f>
        <v>1.3299167200512492</v>
      </c>
      <c r="J261" s="75" t="s">
        <v>471</v>
      </c>
      <c r="K261" s="209">
        <f>+E261/I261</f>
        <v>852687174.24373794</v>
      </c>
      <c r="L261" s="170" t="s">
        <v>662</v>
      </c>
      <c r="M261" s="1" t="s">
        <v>919</v>
      </c>
      <c r="N261" s="214">
        <f>+H261-K261+N260</f>
        <v>-161598.87784172071</v>
      </c>
    </row>
    <row r="262" spans="1:14" ht="28.5" x14ac:dyDescent="0.25">
      <c r="A262" s="175" t="s">
        <v>529</v>
      </c>
      <c r="B262" s="375" t="s">
        <v>663</v>
      </c>
      <c r="C262" s="155" t="s">
        <v>50</v>
      </c>
      <c r="D262" s="55" t="s">
        <v>142</v>
      </c>
      <c r="E262" s="117">
        <v>1139221904.97</v>
      </c>
      <c r="F262" s="4" t="s">
        <v>664</v>
      </c>
      <c r="G262" s="203">
        <v>43893</v>
      </c>
      <c r="H262" s="161">
        <v>852687174</v>
      </c>
      <c r="I262" s="77">
        <f>104.24/78.05</f>
        <v>1.3355541319666879</v>
      </c>
      <c r="J262" s="75" t="s">
        <v>665</v>
      </c>
      <c r="K262" s="209">
        <f>+E262/I262</f>
        <v>852995679.99720371</v>
      </c>
      <c r="L262" s="170" t="s">
        <v>666</v>
      </c>
      <c r="M262" s="1" t="s">
        <v>918</v>
      </c>
      <c r="N262" s="214">
        <f>+H262-K262+N261</f>
        <v>-470104.8750454284</v>
      </c>
    </row>
    <row r="263" spans="1:14" ht="15" x14ac:dyDescent="0.25">
      <c r="A263" s="175" t="s">
        <v>529</v>
      </c>
      <c r="B263" s="375" t="s">
        <v>667</v>
      </c>
      <c r="C263" s="155" t="s">
        <v>50</v>
      </c>
      <c r="D263" s="55" t="s">
        <v>142</v>
      </c>
      <c r="E263" s="117">
        <v>1146457297</v>
      </c>
      <c r="F263" s="4" t="s">
        <v>668</v>
      </c>
      <c r="G263" s="203">
        <v>43906</v>
      </c>
      <c r="H263" s="161">
        <v>852687174</v>
      </c>
      <c r="I263" s="77">
        <f>104.94/78.05</f>
        <v>1.3445227418321588</v>
      </c>
      <c r="J263" s="75" t="s">
        <v>669</v>
      </c>
      <c r="K263" s="209">
        <f>+E263/I263</f>
        <v>852687173.91700017</v>
      </c>
      <c r="L263" s="170" t="s">
        <v>670</v>
      </c>
      <c r="M263" s="1" t="s">
        <v>917</v>
      </c>
      <c r="N263" s="214">
        <f>+H263-K263+N262</f>
        <v>-470104.79204560292</v>
      </c>
    </row>
    <row r="264" spans="1:14" ht="15" x14ac:dyDescent="0.25">
      <c r="A264" s="175" t="s">
        <v>529</v>
      </c>
      <c r="B264" s="375" t="s">
        <v>671</v>
      </c>
      <c r="C264" s="155" t="s">
        <v>50</v>
      </c>
      <c r="D264" s="55" t="s">
        <v>142</v>
      </c>
      <c r="E264" s="117">
        <v>1159384899</v>
      </c>
      <c r="F264" s="4" t="s">
        <v>672</v>
      </c>
      <c r="G264" s="203">
        <v>43935</v>
      </c>
      <c r="H264" s="161">
        <v>852687174</v>
      </c>
      <c r="I264" s="77">
        <f>105.53/78.05</f>
        <v>1.35208199871877</v>
      </c>
      <c r="J264" s="75" t="s">
        <v>673</v>
      </c>
      <c r="K264" s="209">
        <f>+E264/I264</f>
        <v>857481203.13607502</v>
      </c>
      <c r="L264" s="170" t="s">
        <v>674</v>
      </c>
      <c r="M264" s="1" t="s">
        <v>916</v>
      </c>
      <c r="N264" s="214">
        <f>+H264-K264+N263</f>
        <v>-5264133.9281206224</v>
      </c>
    </row>
    <row r="265" spans="1:14" ht="15" x14ac:dyDescent="0.25">
      <c r="A265" s="175" t="s">
        <v>529</v>
      </c>
      <c r="B265" s="375" t="s">
        <v>675</v>
      </c>
      <c r="C265" s="155" t="s">
        <v>50</v>
      </c>
      <c r="D265" s="55" t="s">
        <v>142</v>
      </c>
      <c r="E265" s="117">
        <v>1154760208.74</v>
      </c>
      <c r="F265" s="4" t="s">
        <v>676</v>
      </c>
      <c r="G265" s="203">
        <v>43973</v>
      </c>
      <c r="H265" s="161">
        <v>852687174</v>
      </c>
      <c r="I265" s="77">
        <f>[26]IPC!$S$13/78.05</f>
        <v>1.3542600896860988</v>
      </c>
      <c r="J265" s="75" t="s">
        <v>677</v>
      </c>
      <c r="K265" s="209">
        <f>+E265/I265</f>
        <v>852687174.00337744</v>
      </c>
      <c r="L265" s="170" t="s">
        <v>678</v>
      </c>
      <c r="M265" s="1" t="s">
        <v>915</v>
      </c>
      <c r="N265" s="214">
        <f>+H265-K265+N264</f>
        <v>-5264133.93149806</v>
      </c>
    </row>
    <row r="266" spans="1:14" ht="15" x14ac:dyDescent="0.25">
      <c r="A266" s="175" t="s">
        <v>529</v>
      </c>
      <c r="B266" s="375" t="s">
        <v>679</v>
      </c>
      <c r="C266" s="155" t="s">
        <v>50</v>
      </c>
      <c r="D266" s="55" t="s">
        <v>142</v>
      </c>
      <c r="E266" s="159">
        <v>1151045748.27</v>
      </c>
      <c r="F266" s="4" t="s">
        <v>680</v>
      </c>
      <c r="G266" s="203">
        <v>43998</v>
      </c>
      <c r="H266" s="161">
        <v>852687174</v>
      </c>
      <c r="I266" s="77">
        <f>[26]IPC!$S$14/78.05</f>
        <v>1.3499039077514414</v>
      </c>
      <c r="J266" s="75" t="s">
        <v>681</v>
      </c>
      <c r="K266" s="209">
        <f>+E266/I266</f>
        <v>852687173.99841964</v>
      </c>
      <c r="L266" s="170" t="s">
        <v>682</v>
      </c>
      <c r="M266" s="1" t="s">
        <v>914</v>
      </c>
      <c r="N266" s="214">
        <f>+H266-K266+N265</f>
        <v>-5264133.9299177025</v>
      </c>
    </row>
    <row r="267" spans="1:14" ht="15" x14ac:dyDescent="0.25">
      <c r="A267" s="175" t="s">
        <v>529</v>
      </c>
      <c r="B267" s="375" t="s">
        <v>683</v>
      </c>
      <c r="C267" s="155" t="s">
        <v>50</v>
      </c>
      <c r="D267" s="55" t="s">
        <v>142</v>
      </c>
      <c r="E267" s="159">
        <v>625016441</v>
      </c>
      <c r="F267" s="4" t="s">
        <v>684</v>
      </c>
      <c r="G267" s="203">
        <v>44026</v>
      </c>
      <c r="H267" s="161">
        <v>464728334</v>
      </c>
      <c r="I267" s="77">
        <f>[26]IPC!$S$15/78.05</f>
        <v>1.3449071108263935</v>
      </c>
      <c r="J267" s="75" t="s">
        <v>685</v>
      </c>
      <c r="K267" s="209">
        <f>+E267/I267</f>
        <v>464728334.0006668</v>
      </c>
      <c r="L267" s="170" t="s">
        <v>686</v>
      </c>
      <c r="M267" s="1" t="s">
        <v>913</v>
      </c>
      <c r="N267" s="214">
        <f>+H267-K267+N266</f>
        <v>-5264133.9305844996</v>
      </c>
    </row>
    <row r="268" spans="1:14" ht="15" x14ac:dyDescent="0.25">
      <c r="A268" s="175" t="s">
        <v>529</v>
      </c>
      <c r="B268" s="375" t="s">
        <v>794</v>
      </c>
      <c r="C268" s="155" t="s">
        <v>50</v>
      </c>
      <c r="D268" s="55" t="s">
        <v>142</v>
      </c>
      <c r="E268" s="159">
        <v>625016441</v>
      </c>
      <c r="F268" s="4" t="s">
        <v>793</v>
      </c>
      <c r="G268" s="203">
        <v>44068</v>
      </c>
      <c r="H268" s="161">
        <v>464728334</v>
      </c>
      <c r="I268" s="77">
        <f>[26]IPC!$S$16/78.05</f>
        <v>1.3449071108263935</v>
      </c>
      <c r="J268" s="75" t="s">
        <v>792</v>
      </c>
      <c r="K268" s="209">
        <f>+E268/I268</f>
        <v>464728334.0006668</v>
      </c>
      <c r="L268" s="170" t="s">
        <v>791</v>
      </c>
      <c r="M268" s="1" t="s">
        <v>790</v>
      </c>
      <c r="N268" s="214">
        <f>+H268-K268+N267</f>
        <v>-5264133.9312512968</v>
      </c>
    </row>
    <row r="269" spans="1:14" ht="15" x14ac:dyDescent="0.25">
      <c r="A269" s="175" t="s">
        <v>529</v>
      </c>
      <c r="B269" s="375" t="s">
        <v>789</v>
      </c>
      <c r="C269" s="155" t="s">
        <v>50</v>
      </c>
      <c r="D269" s="55" t="s">
        <v>142</v>
      </c>
      <c r="E269" s="159">
        <v>624956989.61000001</v>
      </c>
      <c r="F269" s="4" t="s">
        <v>788</v>
      </c>
      <c r="G269" s="203">
        <v>44088</v>
      </c>
      <c r="H269" s="161">
        <v>464728334</v>
      </c>
      <c r="I269" s="77">
        <f>[26]IPC!$S$17/78.05</f>
        <v>1.3447789878283152</v>
      </c>
      <c r="J269" s="75" t="s">
        <v>787</v>
      </c>
      <c r="K269" s="209">
        <f>+E269/I269</f>
        <v>464728401.66787827</v>
      </c>
      <c r="L269" s="170" t="s">
        <v>786</v>
      </c>
      <c r="M269" s="1" t="s">
        <v>785</v>
      </c>
      <c r="N269" s="54"/>
    </row>
    <row r="270" spans="1:14" ht="15" x14ac:dyDescent="0.25">
      <c r="A270" s="175" t="s">
        <v>529</v>
      </c>
      <c r="B270" s="845" t="s">
        <v>784</v>
      </c>
      <c r="C270" s="155" t="s">
        <v>50</v>
      </c>
      <c r="D270" s="55" t="s">
        <v>142</v>
      </c>
      <c r="E270" s="159">
        <v>624956898.61000001</v>
      </c>
      <c r="F270" s="4" t="s">
        <v>783</v>
      </c>
      <c r="G270" s="203">
        <v>44118</v>
      </c>
      <c r="H270" s="847">
        <v>464728334</v>
      </c>
      <c r="I270" s="77">
        <f>[26]IPC!$S$18/78.05</f>
        <v>1.3490070467648945</v>
      </c>
      <c r="J270" s="75" t="s">
        <v>782</v>
      </c>
      <c r="K270" s="209">
        <f>+E270/I270</f>
        <v>463271782.09241611</v>
      </c>
      <c r="L270" s="170" t="s">
        <v>836</v>
      </c>
      <c r="M270" s="1" t="s">
        <v>781</v>
      </c>
    </row>
    <row r="271" spans="1:14" ht="15" x14ac:dyDescent="0.25">
      <c r="A271" s="175" t="s">
        <v>529</v>
      </c>
      <c r="B271" s="846"/>
      <c r="C271" s="155" t="s">
        <v>50</v>
      </c>
      <c r="D271" s="55" t="s">
        <v>142</v>
      </c>
      <c r="E271" s="159">
        <v>1964898</v>
      </c>
      <c r="F271" s="4" t="s">
        <v>837</v>
      </c>
      <c r="G271" s="203">
        <v>44134</v>
      </c>
      <c r="H271" s="848"/>
      <c r="I271" s="77">
        <f>[26]IPC!$S$18/78.05</f>
        <v>1.3490070467648945</v>
      </c>
      <c r="J271" s="75" t="s">
        <v>782</v>
      </c>
      <c r="K271" s="209">
        <f>+E271/I271</f>
        <v>1456551.3239623895</v>
      </c>
      <c r="L271" s="170" t="s">
        <v>836</v>
      </c>
      <c r="M271" s="1" t="s">
        <v>835</v>
      </c>
    </row>
    <row r="272" spans="1:14" ht="15" x14ac:dyDescent="0.25">
      <c r="A272" s="175"/>
      <c r="B272" s="375" t="s">
        <v>1016</v>
      </c>
      <c r="C272" s="155" t="s">
        <v>50</v>
      </c>
      <c r="D272" s="55" t="s">
        <v>142</v>
      </c>
      <c r="E272" s="159">
        <f>626564543.07-E282</f>
        <v>625671407.25999999</v>
      </c>
      <c r="F272" s="4" t="s">
        <v>1015</v>
      </c>
      <c r="G272" s="203">
        <v>44187</v>
      </c>
      <c r="H272" s="161">
        <v>464728334</v>
      </c>
      <c r="I272" s="77">
        <f>[26]IPC!$S$20/78.05</f>
        <v>1.3463164638052532</v>
      </c>
      <c r="J272" s="75" t="s">
        <v>1010</v>
      </c>
      <c r="K272" s="209">
        <f>+E272/I272</f>
        <v>464728333.99926716</v>
      </c>
      <c r="L272" s="170" t="s">
        <v>1014</v>
      </c>
      <c r="M272" s="1" t="s">
        <v>1013</v>
      </c>
    </row>
    <row r="273" spans="1:18" ht="15" x14ac:dyDescent="0.25">
      <c r="A273" s="175"/>
      <c r="B273" s="375" t="s">
        <v>1012</v>
      </c>
      <c r="C273" s="155" t="s">
        <v>50</v>
      </c>
      <c r="D273" s="55" t="s">
        <v>142</v>
      </c>
      <c r="E273" s="159">
        <f>625671407.26</f>
        <v>625671407.25999999</v>
      </c>
      <c r="F273" s="4" t="s">
        <v>1011</v>
      </c>
      <c r="G273" s="203">
        <v>44180</v>
      </c>
      <c r="H273" s="161">
        <v>464728334</v>
      </c>
      <c r="I273" s="77">
        <f>[26]IPC!$S$20/78.05</f>
        <v>1.3463164638052532</v>
      </c>
      <c r="J273" s="75" t="s">
        <v>1010</v>
      </c>
      <c r="K273" s="209">
        <f>+E273/I273</f>
        <v>464728333.99926716</v>
      </c>
      <c r="L273" s="170" t="s">
        <v>1009</v>
      </c>
      <c r="M273" s="1" t="s">
        <v>1008</v>
      </c>
    </row>
    <row r="274" spans="1:18" ht="15" x14ac:dyDescent="0.25">
      <c r="A274" s="175"/>
      <c r="B274" s="375" t="s">
        <v>1062</v>
      </c>
      <c r="C274" s="155" t="s">
        <v>50</v>
      </c>
      <c r="D274" s="55" t="s">
        <v>142</v>
      </c>
      <c r="E274" s="159">
        <v>628053102.75999999</v>
      </c>
      <c r="F274" s="4" t="s">
        <v>1061</v>
      </c>
      <c r="G274" s="203">
        <v>44218</v>
      </c>
      <c r="H274" s="161">
        <v>464728334</v>
      </c>
      <c r="I274" s="77">
        <f>[26]IPC!$S$21/78.05</f>
        <v>1.3514413837283794</v>
      </c>
      <c r="J274" s="75" t="s">
        <v>1060</v>
      </c>
      <c r="K274" s="209">
        <f>+E274/I274</f>
        <v>464728334.000929</v>
      </c>
      <c r="L274" s="170" t="s">
        <v>1059</v>
      </c>
      <c r="M274" s="1" t="s">
        <v>1058</v>
      </c>
    </row>
    <row r="275" spans="1:18" ht="15" x14ac:dyDescent="0.25">
      <c r="A275" s="175"/>
      <c r="B275" s="375" t="s">
        <v>1166</v>
      </c>
      <c r="C275" s="155" t="s">
        <v>50</v>
      </c>
      <c r="D275" s="55" t="s">
        <v>142</v>
      </c>
      <c r="E275" s="159">
        <v>628053102.75999999</v>
      </c>
      <c r="F275" s="4" t="s">
        <v>1165</v>
      </c>
      <c r="G275" s="203">
        <v>44239</v>
      </c>
      <c r="H275" s="161">
        <v>464728334</v>
      </c>
      <c r="I275" s="77">
        <f>[26]IPC!$T$10/78.05</f>
        <v>1.3569506726457399</v>
      </c>
      <c r="J275" s="75" t="s">
        <v>1164</v>
      </c>
      <c r="K275" s="209">
        <f>+E275/I275</f>
        <v>462841513.26992732</v>
      </c>
      <c r="L275" s="337" t="s">
        <v>1163</v>
      </c>
      <c r="M275" s="1" t="s">
        <v>1162</v>
      </c>
    </row>
    <row r="276" spans="1:18" s="118" customFormat="1" ht="15" x14ac:dyDescent="0.25">
      <c r="A276" s="175" t="s">
        <v>529</v>
      </c>
      <c r="B276" s="369" t="s">
        <v>687</v>
      </c>
      <c r="C276" s="369"/>
      <c r="D276" s="56"/>
      <c r="E276" s="119">
        <f>SUM(E229:E275)</f>
        <v>46715043081.439445</v>
      </c>
      <c r="F276" s="208"/>
      <c r="G276" s="207"/>
      <c r="H276" s="119">
        <f>SUM(H229:H273)</f>
        <v>35191102178.979996</v>
      </c>
      <c r="I276" s="120"/>
      <c r="J276" s="213"/>
      <c r="K276" s="212">
        <f>SUM(K229:K275)</f>
        <v>36123936227.2649</v>
      </c>
      <c r="L276" s="204">
        <f>+K276-H276</f>
        <v>932834048.28490448</v>
      </c>
      <c r="M276" s="186"/>
      <c r="O276" s="57"/>
      <c r="P276" s="57"/>
      <c r="Q276" s="57"/>
      <c r="R276" s="57"/>
    </row>
    <row r="277" spans="1:18" ht="15" x14ac:dyDescent="0.25">
      <c r="A277" s="175" t="s">
        <v>529</v>
      </c>
      <c r="B277" s="155"/>
      <c r="C277" s="155"/>
      <c r="D277" s="55"/>
      <c r="E277" s="159">
        <f>+E272+E282</f>
        <v>626564543.07000005</v>
      </c>
      <c r="F277" s="158"/>
      <c r="G277" s="203"/>
      <c r="H277" s="161"/>
      <c r="I277" s="77"/>
      <c r="J277" s="75"/>
      <c r="K277" s="160"/>
      <c r="L277" s="375"/>
      <c r="M277" s="54"/>
    </row>
    <row r="278" spans="1:18" ht="15" x14ac:dyDescent="0.25">
      <c r="A278" s="175" t="s">
        <v>529</v>
      </c>
      <c r="B278" s="211" t="s">
        <v>688</v>
      </c>
      <c r="C278" s="155"/>
      <c r="D278" s="55"/>
      <c r="E278" s="159"/>
      <c r="F278" s="158"/>
      <c r="G278" s="203"/>
      <c r="H278" s="161"/>
      <c r="I278" s="77"/>
      <c r="J278" s="75"/>
      <c r="K278" s="160"/>
      <c r="L278" s="375"/>
      <c r="M278" s="54"/>
    </row>
    <row r="279" spans="1:18" ht="15" x14ac:dyDescent="0.25">
      <c r="A279" s="175" t="s">
        <v>529</v>
      </c>
      <c r="B279" s="374" t="s">
        <v>689</v>
      </c>
      <c r="C279" s="155" t="s">
        <v>780</v>
      </c>
      <c r="D279" s="55" t="s">
        <v>142</v>
      </c>
      <c r="E279" s="117">
        <v>496102</v>
      </c>
      <c r="F279" s="4" t="s">
        <v>690</v>
      </c>
      <c r="G279" s="203">
        <v>43432</v>
      </c>
      <c r="H279" s="161"/>
      <c r="I279" s="77">
        <f>142.67/111.82</f>
        <v>1.2758898229297084</v>
      </c>
      <c r="J279" s="75" t="s">
        <v>318</v>
      </c>
      <c r="K279" s="209">
        <f>+E279/I279</f>
        <v>388828.24448026915</v>
      </c>
      <c r="L279" s="170" t="s">
        <v>320</v>
      </c>
      <c r="M279" s="54"/>
    </row>
    <row r="280" spans="1:18" ht="29.25" x14ac:dyDescent="0.25">
      <c r="A280" s="175" t="s">
        <v>529</v>
      </c>
      <c r="B280" s="368" t="s">
        <v>691</v>
      </c>
      <c r="C280" s="155" t="s">
        <v>780</v>
      </c>
      <c r="D280" s="55" t="s">
        <v>142</v>
      </c>
      <c r="E280" s="117">
        <v>3773012.800566304</v>
      </c>
      <c r="F280" s="4" t="s">
        <v>692</v>
      </c>
      <c r="G280" s="203">
        <v>43748</v>
      </c>
      <c r="H280" s="161"/>
      <c r="I280" s="77">
        <f>103.26/111.82</f>
        <v>0.92344839921302102</v>
      </c>
      <c r="J280" s="75" t="s">
        <v>460</v>
      </c>
      <c r="K280" s="210">
        <v>2851865.67</v>
      </c>
      <c r="L280" s="170" t="s">
        <v>693</v>
      </c>
      <c r="M280" s="54"/>
    </row>
    <row r="281" spans="1:18" ht="15" x14ac:dyDescent="0.25">
      <c r="A281" s="175" t="s">
        <v>529</v>
      </c>
      <c r="B281" s="368" t="s">
        <v>694</v>
      </c>
      <c r="C281" s="155" t="s">
        <v>780</v>
      </c>
      <c r="D281" s="55" t="s">
        <v>142</v>
      </c>
      <c r="E281" s="117">
        <v>389605</v>
      </c>
      <c r="F281" s="4"/>
      <c r="G281" s="203">
        <v>43935</v>
      </c>
      <c r="H281" s="161"/>
      <c r="I281" s="77">
        <f>105.53/78.05</f>
        <v>1.35208199871877</v>
      </c>
      <c r="J281" s="75" t="s">
        <v>673</v>
      </c>
      <c r="K281" s="209">
        <f>+E281/I281</f>
        <v>288151.90230266278</v>
      </c>
      <c r="L281" s="170" t="s">
        <v>695</v>
      </c>
      <c r="M281" s="54"/>
    </row>
    <row r="282" spans="1:18" ht="15" x14ac:dyDescent="0.25">
      <c r="A282" s="175"/>
      <c r="B282" s="368" t="s">
        <v>1007</v>
      </c>
      <c r="C282" s="155" t="s">
        <v>780</v>
      </c>
      <c r="D282" s="55" t="s">
        <v>142</v>
      </c>
      <c r="E282" s="117">
        <f>+K282*I282</f>
        <v>893135.81000009703</v>
      </c>
      <c r="F282" s="4" t="s">
        <v>1024</v>
      </c>
      <c r="G282" s="203">
        <v>44187</v>
      </c>
      <c r="H282" s="161"/>
      <c r="I282" s="77">
        <f>[26]IPC!$S$20/78.05</f>
        <v>1.3463164638052532</v>
      </c>
      <c r="J282" s="75"/>
      <c r="K282" s="209">
        <v>663392.17710798979</v>
      </c>
      <c r="L282" s="170"/>
      <c r="M282" s="54"/>
    </row>
    <row r="283" spans="1:18" s="118" customFormat="1" ht="15" x14ac:dyDescent="0.25">
      <c r="A283" s="175" t="s">
        <v>529</v>
      </c>
      <c r="B283" s="369" t="s">
        <v>696</v>
      </c>
      <c r="C283" s="369"/>
      <c r="D283" s="56"/>
      <c r="E283" s="119">
        <f>SUM(E279:E281)</f>
        <v>4658719.8005663045</v>
      </c>
      <c r="F283" s="208"/>
      <c r="G283" s="207"/>
      <c r="H283" s="206">
        <f>SUM(H279:H281)</f>
        <v>0</v>
      </c>
      <c r="I283" s="119"/>
      <c r="J283" s="119"/>
      <c r="K283" s="205">
        <f>SUM(K279:K281)</f>
        <v>3528845.8167829318</v>
      </c>
      <c r="L283" s="204">
        <f>+K283-H283</f>
        <v>3528845.8167829318</v>
      </c>
      <c r="M283" s="186"/>
      <c r="O283" s="57"/>
      <c r="P283" s="57"/>
      <c r="Q283" s="57"/>
      <c r="R283" s="57"/>
    </row>
    <row r="284" spans="1:18" s="118" customFormat="1" ht="15" x14ac:dyDescent="0.25">
      <c r="A284" s="175" t="s">
        <v>529</v>
      </c>
      <c r="B284" s="369" t="s">
        <v>697</v>
      </c>
      <c r="C284" s="369"/>
      <c r="D284" s="56"/>
      <c r="E284" s="119">
        <f>+E276+E283</f>
        <v>46719701801.240013</v>
      </c>
      <c r="F284" s="208"/>
      <c r="G284" s="207"/>
      <c r="H284" s="206">
        <f>+H276+H283</f>
        <v>35191102178.979996</v>
      </c>
      <c r="I284" s="119"/>
      <c r="J284" s="119"/>
      <c r="K284" s="205">
        <f>+K276+K283</f>
        <v>36127465073.08168</v>
      </c>
      <c r="L284" s="204">
        <f>+K284-H284</f>
        <v>936362894.10168457</v>
      </c>
      <c r="M284" s="186"/>
      <c r="O284" s="57"/>
      <c r="P284" s="57"/>
      <c r="Q284" s="57"/>
      <c r="R284" s="57"/>
    </row>
    <row r="285" spans="1:18" ht="15" hidden="1" x14ac:dyDescent="0.25">
      <c r="A285" s="175" t="s">
        <v>529</v>
      </c>
      <c r="B285" s="375"/>
      <c r="C285" s="155"/>
      <c r="D285" s="55"/>
      <c r="E285" s="159"/>
      <c r="F285" s="158"/>
      <c r="G285" s="203"/>
      <c r="H285" s="161"/>
      <c r="I285" s="77"/>
      <c r="J285" s="75"/>
      <c r="K285" s="160"/>
      <c r="L285" s="375"/>
      <c r="M285" s="54"/>
    </row>
    <row r="286" spans="1:18" ht="15" hidden="1" x14ac:dyDescent="0.25">
      <c r="A286" s="175" t="s">
        <v>529</v>
      </c>
      <c r="B286" s="375"/>
      <c r="C286" s="155"/>
      <c r="D286" s="55"/>
      <c r="E286" s="159"/>
      <c r="F286" s="158"/>
      <c r="G286" s="203"/>
      <c r="H286" s="161"/>
      <c r="I286" s="77"/>
      <c r="J286" s="75"/>
      <c r="K286" s="160"/>
      <c r="L286" s="375"/>
      <c r="M286" s="54"/>
    </row>
    <row r="287" spans="1:18" hidden="1" x14ac:dyDescent="0.2">
      <c r="A287" s="175" t="s">
        <v>529</v>
      </c>
      <c r="B287" s="185"/>
      <c r="C287" s="185"/>
      <c r="D287" s="54"/>
      <c r="E287" s="54"/>
      <c r="F287" s="54"/>
      <c r="G287" s="184"/>
      <c r="H287" s="183"/>
      <c r="I287" s="54"/>
      <c r="J287" s="54"/>
      <c r="K287" s="54"/>
      <c r="L287" s="54"/>
      <c r="M287" s="54"/>
    </row>
    <row r="288" spans="1:18" s="177" customFormat="1" ht="15" x14ac:dyDescent="0.25">
      <c r="A288" s="177" t="s">
        <v>477</v>
      </c>
      <c r="B288" s="373" t="s">
        <v>237</v>
      </c>
      <c r="C288" s="373"/>
      <c r="D288" s="373"/>
      <c r="E288" s="373"/>
      <c r="F288" s="373"/>
      <c r="G288" s="182"/>
      <c r="H288" s="373"/>
      <c r="I288" s="373"/>
      <c r="J288" s="373"/>
      <c r="K288" s="373"/>
      <c r="L288" s="373"/>
      <c r="M288" s="179"/>
      <c r="O288" s="178"/>
      <c r="P288" s="178"/>
      <c r="Q288" s="178"/>
      <c r="R288" s="178"/>
    </row>
    <row r="289" spans="1:18" s="177" customFormat="1" ht="15" x14ac:dyDescent="0.25">
      <c r="A289" s="181" t="s">
        <v>529</v>
      </c>
      <c r="B289" s="138" t="s">
        <v>129</v>
      </c>
      <c r="C289" s="139" t="s">
        <v>130</v>
      </c>
      <c r="D289" s="139" t="s">
        <v>131</v>
      </c>
      <c r="E289" s="851" t="s">
        <v>132</v>
      </c>
      <c r="F289" s="852"/>
      <c r="G289" s="851" t="s">
        <v>133</v>
      </c>
      <c r="H289" s="853"/>
      <c r="I289" s="853"/>
      <c r="J289" s="853"/>
      <c r="K289" s="852"/>
      <c r="L289" s="140" t="s">
        <v>96</v>
      </c>
      <c r="M289" s="140" t="s">
        <v>777</v>
      </c>
      <c r="O289" s="178"/>
      <c r="P289" s="178"/>
      <c r="Q289" s="178"/>
      <c r="R289" s="178"/>
    </row>
    <row r="290" spans="1:18" s="177" customFormat="1" ht="45" x14ac:dyDescent="0.25">
      <c r="A290" s="181" t="s">
        <v>529</v>
      </c>
      <c r="B290" s="138"/>
      <c r="C290" s="139"/>
      <c r="D290" s="139"/>
      <c r="E290" s="141" t="s">
        <v>134</v>
      </c>
      <c r="F290" s="141" t="s">
        <v>135</v>
      </c>
      <c r="G290" s="180" t="s">
        <v>607</v>
      </c>
      <c r="H290" s="141" t="s">
        <v>136</v>
      </c>
      <c r="I290" s="141" t="s">
        <v>137</v>
      </c>
      <c r="J290" s="141" t="s">
        <v>138</v>
      </c>
      <c r="K290" s="141" t="s">
        <v>139</v>
      </c>
      <c r="L290" s="140"/>
      <c r="M290" s="179"/>
      <c r="O290" s="178"/>
      <c r="P290" s="178"/>
      <c r="Q290" s="178"/>
      <c r="R290" s="178"/>
    </row>
    <row r="291" spans="1:18" ht="15" x14ac:dyDescent="0.2">
      <c r="A291" s="175" t="s">
        <v>529</v>
      </c>
      <c r="B291" s="375" t="s">
        <v>140</v>
      </c>
      <c r="C291" s="154" t="s">
        <v>22</v>
      </c>
      <c r="D291" s="55" t="s">
        <v>142</v>
      </c>
      <c r="E291" s="137">
        <v>15367645546</v>
      </c>
      <c r="F291" s="202" t="s">
        <v>238</v>
      </c>
      <c r="G291" s="176">
        <v>42913</v>
      </c>
      <c r="H291" s="172">
        <v>12478470154</v>
      </c>
      <c r="I291" s="39">
        <f>137.71/111.82</f>
        <v>1.2315328206045431</v>
      </c>
      <c r="J291" s="31" t="s">
        <v>184</v>
      </c>
      <c r="K291" s="50">
        <f>+E291/I291</f>
        <v>12478470154.336794</v>
      </c>
      <c r="L291" s="170" t="s">
        <v>177</v>
      </c>
      <c r="M291" s="54" t="s">
        <v>912</v>
      </c>
    </row>
    <row r="292" spans="1:18" ht="15" hidden="1" x14ac:dyDescent="0.2">
      <c r="A292" s="175" t="s">
        <v>779</v>
      </c>
      <c r="B292" s="375"/>
      <c r="C292" s="155"/>
      <c r="D292" s="55"/>
      <c r="E292" s="156"/>
      <c r="F292" s="371"/>
      <c r="G292" s="176"/>
      <c r="H292" s="172"/>
      <c r="I292" s="39"/>
      <c r="J292" s="31"/>
      <c r="K292" s="157"/>
      <c r="L292" s="375"/>
      <c r="M292" s="54"/>
    </row>
    <row r="293" spans="1:18" ht="15" hidden="1" x14ac:dyDescent="0.2">
      <c r="A293" s="175" t="s">
        <v>779</v>
      </c>
      <c r="B293" s="375"/>
      <c r="C293" s="155"/>
      <c r="D293" s="55"/>
      <c r="E293" s="156"/>
      <c r="F293" s="371"/>
      <c r="G293" s="176"/>
      <c r="H293" s="172"/>
      <c r="I293" s="39"/>
      <c r="J293" s="31"/>
      <c r="K293" s="157"/>
      <c r="L293" s="375"/>
      <c r="M293" s="54"/>
    </row>
    <row r="294" spans="1:18" hidden="1" x14ac:dyDescent="0.2">
      <c r="A294" s="175" t="s">
        <v>779</v>
      </c>
      <c r="B294" s="185"/>
      <c r="C294" s="185"/>
      <c r="D294" s="54"/>
      <c r="E294" s="54"/>
      <c r="F294" s="54"/>
      <c r="G294" s="184"/>
      <c r="H294" s="183"/>
      <c r="I294" s="54"/>
      <c r="J294" s="54"/>
      <c r="K294" s="54"/>
      <c r="L294" s="54"/>
      <c r="M294" s="54"/>
    </row>
    <row r="295" spans="1:18" hidden="1" x14ac:dyDescent="0.2">
      <c r="A295" s="175" t="s">
        <v>779</v>
      </c>
      <c r="B295" s="185"/>
      <c r="C295" s="185"/>
      <c r="D295" s="54"/>
      <c r="E295" s="54"/>
      <c r="F295" s="54"/>
      <c r="G295" s="184"/>
      <c r="H295" s="183"/>
      <c r="I295" s="54"/>
      <c r="J295" s="54"/>
      <c r="K295" s="54"/>
      <c r="L295" s="54"/>
      <c r="M295" s="54"/>
    </row>
    <row r="296" spans="1:18" hidden="1" x14ac:dyDescent="0.2">
      <c r="A296" s="175" t="s">
        <v>779</v>
      </c>
      <c r="B296" s="185"/>
      <c r="C296" s="185"/>
      <c r="D296" s="54"/>
      <c r="E296" s="54"/>
      <c r="F296" s="54"/>
      <c r="G296" s="184"/>
      <c r="H296" s="183"/>
      <c r="I296" s="54"/>
      <c r="J296" s="54"/>
      <c r="K296" s="54"/>
      <c r="L296" s="54"/>
      <c r="M296" s="54"/>
    </row>
    <row r="297" spans="1:18" s="177" customFormat="1" ht="15" x14ac:dyDescent="0.25">
      <c r="A297" s="177" t="s">
        <v>529</v>
      </c>
      <c r="B297" s="373" t="s">
        <v>239</v>
      </c>
      <c r="C297" s="373"/>
      <c r="D297" s="373"/>
      <c r="E297" s="373"/>
      <c r="F297" s="373"/>
      <c r="G297" s="182"/>
      <c r="H297" s="373"/>
      <c r="I297" s="373"/>
      <c r="J297" s="373"/>
      <c r="K297" s="373"/>
      <c r="L297" s="373"/>
      <c r="M297" s="179"/>
      <c r="O297" s="178"/>
      <c r="P297" s="178"/>
      <c r="Q297" s="178"/>
      <c r="R297" s="178"/>
    </row>
    <row r="298" spans="1:18" s="177" customFormat="1" ht="15" x14ac:dyDescent="0.25">
      <c r="A298" s="177" t="s">
        <v>473</v>
      </c>
      <c r="B298" s="373" t="s">
        <v>240</v>
      </c>
      <c r="C298" s="373"/>
      <c r="D298" s="373"/>
      <c r="E298" s="373"/>
      <c r="F298" s="373"/>
      <c r="G298" s="182"/>
      <c r="H298" s="373"/>
      <c r="I298" s="373"/>
      <c r="J298" s="373"/>
      <c r="K298" s="373"/>
      <c r="L298" s="373"/>
      <c r="M298" s="179"/>
      <c r="O298" s="178"/>
      <c r="P298" s="178"/>
      <c r="Q298" s="178"/>
      <c r="R298" s="178"/>
    </row>
    <row r="299" spans="1:18" s="177" customFormat="1" ht="15" x14ac:dyDescent="0.25">
      <c r="A299" s="181" t="s">
        <v>529</v>
      </c>
      <c r="B299" s="138" t="s">
        <v>129</v>
      </c>
      <c r="C299" s="139" t="s">
        <v>130</v>
      </c>
      <c r="D299" s="139" t="s">
        <v>131</v>
      </c>
      <c r="E299" s="851" t="s">
        <v>132</v>
      </c>
      <c r="F299" s="852"/>
      <c r="G299" s="851" t="s">
        <v>133</v>
      </c>
      <c r="H299" s="853"/>
      <c r="I299" s="853"/>
      <c r="J299" s="853"/>
      <c r="K299" s="852"/>
      <c r="L299" s="140" t="s">
        <v>96</v>
      </c>
      <c r="M299" s="140" t="s">
        <v>777</v>
      </c>
      <c r="O299" s="178"/>
      <c r="P299" s="178"/>
      <c r="Q299" s="178"/>
      <c r="R299" s="178"/>
    </row>
    <row r="300" spans="1:18" s="177" customFormat="1" ht="45" x14ac:dyDescent="0.25">
      <c r="A300" s="181" t="s">
        <v>529</v>
      </c>
      <c r="B300" s="138"/>
      <c r="C300" s="139"/>
      <c r="D300" s="139"/>
      <c r="E300" s="141" t="s">
        <v>134</v>
      </c>
      <c r="F300" s="141" t="s">
        <v>135</v>
      </c>
      <c r="G300" s="180" t="s">
        <v>607</v>
      </c>
      <c r="H300" s="141" t="s">
        <v>136</v>
      </c>
      <c r="I300" s="141" t="s">
        <v>137</v>
      </c>
      <c r="J300" s="141" t="s">
        <v>138</v>
      </c>
      <c r="K300" s="141" t="s">
        <v>139</v>
      </c>
      <c r="L300" s="140"/>
      <c r="M300" s="179"/>
      <c r="O300" s="178"/>
      <c r="P300" s="178"/>
      <c r="Q300" s="178"/>
      <c r="R300" s="178"/>
    </row>
    <row r="301" spans="1:18" ht="28.5" x14ac:dyDescent="0.2">
      <c r="A301" s="175" t="s">
        <v>529</v>
      </c>
      <c r="B301" s="375" t="s">
        <v>140</v>
      </c>
      <c r="C301" s="371" t="s">
        <v>698</v>
      </c>
      <c r="D301" s="55" t="s">
        <v>142</v>
      </c>
      <c r="E301" s="152">
        <v>3039215719</v>
      </c>
      <c r="F301" s="196" t="s">
        <v>699</v>
      </c>
      <c r="G301" s="195" t="s">
        <v>241</v>
      </c>
      <c r="H301" s="199">
        <v>2456948393</v>
      </c>
      <c r="I301" s="39">
        <f>138.32/111.82</f>
        <v>1.2369880164550171</v>
      </c>
      <c r="J301" s="79" t="s">
        <v>334</v>
      </c>
      <c r="K301" s="153">
        <f>+E301/I301</f>
        <v>2456948392.8468766</v>
      </c>
      <c r="L301" s="170" t="s">
        <v>242</v>
      </c>
      <c r="M301" s="54"/>
      <c r="O301" s="178"/>
      <c r="P301" s="178"/>
      <c r="Q301" s="178"/>
    </row>
    <row r="302" spans="1:18" ht="15" customHeight="1" x14ac:dyDescent="0.2">
      <c r="A302" s="175" t="s">
        <v>529</v>
      </c>
      <c r="B302" s="375" t="s">
        <v>144</v>
      </c>
      <c r="C302" s="371" t="s">
        <v>698</v>
      </c>
      <c r="D302" s="55" t="s">
        <v>142</v>
      </c>
      <c r="E302" s="152">
        <f>11645347</f>
        <v>11645347</v>
      </c>
      <c r="F302" s="196" t="s">
        <v>700</v>
      </c>
      <c r="G302" s="195">
        <v>43110</v>
      </c>
      <c r="H302" s="866">
        <v>2456948393</v>
      </c>
      <c r="I302" s="39">
        <f>138.85/111.82</f>
        <v>1.2417277767841173</v>
      </c>
      <c r="J302" s="201" t="s">
        <v>230</v>
      </c>
      <c r="K302" s="153">
        <f>+E302/I302</f>
        <v>9378341.3866762705</v>
      </c>
      <c r="L302" s="170" t="s">
        <v>242</v>
      </c>
      <c r="M302" s="54" t="s">
        <v>911</v>
      </c>
      <c r="O302" s="178"/>
      <c r="P302" s="178"/>
      <c r="Q302" s="178"/>
    </row>
    <row r="303" spans="1:18" ht="14.25" x14ac:dyDescent="0.2">
      <c r="A303" s="175"/>
      <c r="B303" s="375" t="s">
        <v>144</v>
      </c>
      <c r="C303" s="371" t="s">
        <v>698</v>
      </c>
      <c r="D303" s="55" t="s">
        <v>142</v>
      </c>
      <c r="E303" s="152">
        <v>3039215719</v>
      </c>
      <c r="F303" s="196" t="s">
        <v>700</v>
      </c>
      <c r="G303" s="195">
        <v>43109</v>
      </c>
      <c r="H303" s="867"/>
      <c r="I303" s="39">
        <f>138.85/111.82</f>
        <v>1.2417277767841173</v>
      </c>
      <c r="J303" s="201" t="s">
        <v>230</v>
      </c>
      <c r="K303" s="153">
        <f>+E303/I303</f>
        <v>2447570051.8442926</v>
      </c>
      <c r="L303" s="170"/>
      <c r="M303" s="54" t="s">
        <v>910</v>
      </c>
      <c r="O303" s="178"/>
      <c r="P303" s="178"/>
      <c r="Q303" s="178"/>
    </row>
    <row r="304" spans="1:18" ht="14.25" x14ac:dyDescent="0.2">
      <c r="A304" s="175" t="s">
        <v>529</v>
      </c>
      <c r="B304" s="375" t="s">
        <v>145</v>
      </c>
      <c r="C304" s="371" t="s">
        <v>698</v>
      </c>
      <c r="D304" s="55" t="s">
        <v>142</v>
      </c>
      <c r="E304" s="152">
        <v>3069977012</v>
      </c>
      <c r="F304" s="196" t="s">
        <v>701</v>
      </c>
      <c r="G304" s="195">
        <v>43150</v>
      </c>
      <c r="H304" s="199">
        <v>2456948393</v>
      </c>
      <c r="I304" s="39">
        <f>139.72/111.82</f>
        <v>1.2495081380790556</v>
      </c>
      <c r="J304" s="76" t="s">
        <v>243</v>
      </c>
      <c r="K304" s="153">
        <f>+E304/I304</f>
        <v>2456948393.0850272</v>
      </c>
      <c r="L304" s="170" t="s">
        <v>242</v>
      </c>
      <c r="M304" s="54" t="s">
        <v>909</v>
      </c>
      <c r="O304" s="178"/>
      <c r="P304" s="178"/>
      <c r="Q304" s="178"/>
    </row>
    <row r="305" spans="1:17" ht="14.25" x14ac:dyDescent="0.2">
      <c r="A305" s="175" t="s">
        <v>529</v>
      </c>
      <c r="B305" s="375" t="s">
        <v>146</v>
      </c>
      <c r="C305" s="371" t="s">
        <v>698</v>
      </c>
      <c r="D305" s="55" t="s">
        <v>142</v>
      </c>
      <c r="E305" s="152">
        <v>3069977012</v>
      </c>
      <c r="F305" s="196" t="s">
        <v>702</v>
      </c>
      <c r="G305" s="195">
        <v>43157</v>
      </c>
      <c r="H305" s="199">
        <v>2456948393</v>
      </c>
      <c r="I305" s="39">
        <f>139.72/111.82</f>
        <v>1.2495081380790556</v>
      </c>
      <c r="J305" s="76" t="s">
        <v>244</v>
      </c>
      <c r="K305" s="153">
        <f>+E305/I305</f>
        <v>2456948393.0850272</v>
      </c>
      <c r="L305" s="170" t="s">
        <v>217</v>
      </c>
      <c r="M305" s="54"/>
      <c r="O305" s="178"/>
      <c r="P305" s="178"/>
      <c r="Q305" s="178"/>
    </row>
    <row r="306" spans="1:17" ht="14.25" x14ac:dyDescent="0.2">
      <c r="A306" s="175" t="s">
        <v>529</v>
      </c>
      <c r="B306" s="143" t="s">
        <v>147</v>
      </c>
      <c r="C306" s="144" t="s">
        <v>698</v>
      </c>
      <c r="D306" s="58" t="s">
        <v>142</v>
      </c>
      <c r="E306" s="153">
        <v>3091729640</v>
      </c>
      <c r="F306" s="146" t="s">
        <v>703</v>
      </c>
      <c r="G306" s="193">
        <v>43182</v>
      </c>
      <c r="H306" s="199">
        <v>2456948393</v>
      </c>
      <c r="I306" s="74">
        <f>140.71/111.82</f>
        <v>1.2583616526560546</v>
      </c>
      <c r="J306" s="76" t="s">
        <v>236</v>
      </c>
      <c r="K306" s="153">
        <f>+E306/I306</f>
        <v>2456948392.7567334</v>
      </c>
      <c r="L306" s="191" t="s">
        <v>217</v>
      </c>
      <c r="M306" s="54" t="s">
        <v>908</v>
      </c>
      <c r="O306" s="178"/>
      <c r="P306" s="178"/>
      <c r="Q306" s="178"/>
    </row>
    <row r="307" spans="1:17" ht="14.25" x14ac:dyDescent="0.2">
      <c r="A307" s="175" t="s">
        <v>529</v>
      </c>
      <c r="B307" s="375" t="s">
        <v>148</v>
      </c>
      <c r="C307" s="371" t="s">
        <v>698</v>
      </c>
      <c r="D307" s="55" t="s">
        <v>142</v>
      </c>
      <c r="E307" s="152">
        <f>3099200240</f>
        <v>3099200240</v>
      </c>
      <c r="F307" s="196" t="s">
        <v>704</v>
      </c>
      <c r="G307" s="195">
        <v>43237</v>
      </c>
      <c r="H307" s="866">
        <v>2456948393</v>
      </c>
      <c r="I307" s="74">
        <f>141.7/111.82</f>
        <v>1.2672151672330532</v>
      </c>
      <c r="J307" s="76" t="s">
        <v>283</v>
      </c>
      <c r="K307" s="153">
        <f>+E307/I307</f>
        <v>2445677987.5568099</v>
      </c>
      <c r="L307" s="170" t="s">
        <v>217</v>
      </c>
      <c r="M307" s="54" t="s">
        <v>907</v>
      </c>
      <c r="N307" s="200" t="s">
        <v>906</v>
      </c>
      <c r="O307" s="178"/>
      <c r="P307" s="178"/>
      <c r="Q307" s="178"/>
    </row>
    <row r="308" spans="1:17" ht="14.25" x14ac:dyDescent="0.2">
      <c r="A308" s="175"/>
      <c r="B308" s="375" t="s">
        <v>148</v>
      </c>
      <c r="C308" s="371" t="s">
        <v>698</v>
      </c>
      <c r="D308" s="55" t="s">
        <v>142</v>
      </c>
      <c r="E308" s="152">
        <v>14282029</v>
      </c>
      <c r="F308" s="196" t="s">
        <v>704</v>
      </c>
      <c r="G308" s="195">
        <v>43237</v>
      </c>
      <c r="H308" s="867"/>
      <c r="I308" s="74">
        <f>141.7/111.82</f>
        <v>1.2672151672330532</v>
      </c>
      <c r="J308" s="76" t="s">
        <v>283</v>
      </c>
      <c r="K308" s="153">
        <f>+E308/I308</f>
        <v>11270405.665349329</v>
      </c>
      <c r="L308" s="170"/>
      <c r="M308" s="54" t="s">
        <v>905</v>
      </c>
      <c r="O308" s="178"/>
      <c r="P308" s="178"/>
      <c r="Q308" s="178"/>
    </row>
    <row r="309" spans="1:17" ht="14.25" x14ac:dyDescent="0.2">
      <c r="A309" s="175" t="s">
        <v>529</v>
      </c>
      <c r="B309" s="375" t="s">
        <v>149</v>
      </c>
      <c r="C309" s="371" t="s">
        <v>698</v>
      </c>
      <c r="D309" s="55" t="s">
        <v>142</v>
      </c>
      <c r="E309" s="152">
        <v>3113482269</v>
      </c>
      <c r="F309" s="196" t="s">
        <v>705</v>
      </c>
      <c r="G309" s="195">
        <v>43249</v>
      </c>
      <c r="H309" s="199">
        <v>2456948393</v>
      </c>
      <c r="I309" s="74">
        <f>141.7/111.82</f>
        <v>1.2672151672330532</v>
      </c>
      <c r="J309" s="76" t="s">
        <v>284</v>
      </c>
      <c r="K309" s="153">
        <f>+E309/I309</f>
        <v>2456948393.2221594</v>
      </c>
      <c r="L309" s="170" t="s">
        <v>217</v>
      </c>
      <c r="M309" s="54" t="s">
        <v>904</v>
      </c>
      <c r="O309" s="178"/>
      <c r="P309" s="178"/>
      <c r="Q309" s="178"/>
    </row>
    <row r="310" spans="1:17" ht="14.25" x14ac:dyDescent="0.2">
      <c r="A310" s="175" t="s">
        <v>529</v>
      </c>
      <c r="B310" s="375" t="s">
        <v>150</v>
      </c>
      <c r="C310" s="371" t="s">
        <v>698</v>
      </c>
      <c r="D310" s="55" t="s">
        <v>142</v>
      </c>
      <c r="E310" s="152">
        <v>3126226233</v>
      </c>
      <c r="F310" s="196" t="s">
        <v>706</v>
      </c>
      <c r="G310" s="195">
        <v>43305</v>
      </c>
      <c r="H310" s="199">
        <v>2456948393</v>
      </c>
      <c r="I310" s="74">
        <f>142.28/111.82</f>
        <v>1.272402074763012</v>
      </c>
      <c r="J310" s="76" t="s">
        <v>301</v>
      </c>
      <c r="K310" s="153">
        <f>+E310/I310</f>
        <v>2456948393.1266518</v>
      </c>
      <c r="L310" s="170" t="s">
        <v>242</v>
      </c>
      <c r="M310" s="54" t="s">
        <v>903</v>
      </c>
      <c r="O310" s="178"/>
      <c r="P310" s="178"/>
      <c r="Q310" s="178"/>
    </row>
    <row r="311" spans="1:17" ht="14.25" x14ac:dyDescent="0.2">
      <c r="A311" s="175" t="s">
        <v>529</v>
      </c>
      <c r="B311" s="375" t="s">
        <v>178</v>
      </c>
      <c r="C311" s="371" t="s">
        <v>698</v>
      </c>
      <c r="D311" s="55" t="s">
        <v>142</v>
      </c>
      <c r="E311" s="152">
        <v>3126226233</v>
      </c>
      <c r="F311" s="196" t="s">
        <v>707</v>
      </c>
      <c r="G311" s="195">
        <v>43313</v>
      </c>
      <c r="H311" s="199">
        <v>2456948393</v>
      </c>
      <c r="I311" s="74">
        <f>142.28/111.82</f>
        <v>1.272402074763012</v>
      </c>
      <c r="J311" s="76" t="s">
        <v>301</v>
      </c>
      <c r="K311" s="153">
        <f>+E311/I311</f>
        <v>2456948393.1266518</v>
      </c>
      <c r="L311" s="170" t="s">
        <v>217</v>
      </c>
      <c r="M311" s="54" t="s">
        <v>902</v>
      </c>
      <c r="O311" s="178"/>
      <c r="P311" s="178"/>
      <c r="Q311" s="178"/>
    </row>
    <row r="312" spans="1:17" ht="28.5" x14ac:dyDescent="0.2">
      <c r="A312" s="175" t="s">
        <v>529</v>
      </c>
      <c r="B312" s="143" t="s">
        <v>179</v>
      </c>
      <c r="C312" s="144" t="s">
        <v>698</v>
      </c>
      <c r="D312" s="58" t="s">
        <v>142</v>
      </c>
      <c r="E312" s="153">
        <v>3122051486</v>
      </c>
      <c r="F312" s="146" t="s">
        <v>708</v>
      </c>
      <c r="G312" s="193">
        <v>43353</v>
      </c>
      <c r="H312" s="199">
        <v>2456948393</v>
      </c>
      <c r="I312" s="74">
        <f>142.27/111.82</f>
        <v>1.2723126453228404</v>
      </c>
      <c r="J312" s="76" t="s">
        <v>309</v>
      </c>
      <c r="K312" s="153">
        <f>+E312/I312</f>
        <v>2453839861.9843955</v>
      </c>
      <c r="L312" s="170" t="s">
        <v>709</v>
      </c>
      <c r="M312" s="54" t="s">
        <v>901</v>
      </c>
      <c r="O312" s="178"/>
      <c r="P312" s="178"/>
      <c r="Q312" s="178"/>
    </row>
    <row r="313" spans="1:17" ht="14.25" x14ac:dyDescent="0.2">
      <c r="A313" s="175" t="s">
        <v>529</v>
      </c>
      <c r="B313" s="375" t="s">
        <v>180</v>
      </c>
      <c r="C313" s="371" t="s">
        <v>698</v>
      </c>
      <c r="D313" s="55" t="s">
        <v>142</v>
      </c>
      <c r="E313" s="152">
        <v>3131060150</v>
      </c>
      <c r="F313" s="196" t="s">
        <v>710</v>
      </c>
      <c r="G313" s="195">
        <v>43384</v>
      </c>
      <c r="H313" s="199">
        <v>2456948393</v>
      </c>
      <c r="I313" s="74">
        <f>142.5/111.82</f>
        <v>1.2743695224467895</v>
      </c>
      <c r="J313" s="76" t="s">
        <v>316</v>
      </c>
      <c r="K313" s="153">
        <f>+E313/I313</f>
        <v>2456948392.7929826</v>
      </c>
      <c r="L313" s="170" t="s">
        <v>217</v>
      </c>
      <c r="M313" s="54" t="s">
        <v>900</v>
      </c>
      <c r="O313" s="178"/>
      <c r="P313" s="178"/>
      <c r="Q313" s="178"/>
    </row>
    <row r="314" spans="1:17" ht="14.25" x14ac:dyDescent="0.2">
      <c r="A314" s="175" t="s">
        <v>529</v>
      </c>
      <c r="B314" s="375" t="s">
        <v>181</v>
      </c>
      <c r="C314" s="371" t="s">
        <v>698</v>
      </c>
      <c r="D314" s="55" t="s">
        <v>142</v>
      </c>
      <c r="E314" s="152">
        <v>3131060150</v>
      </c>
      <c r="F314" s="196" t="s">
        <v>711</v>
      </c>
      <c r="G314" s="195">
        <v>43384</v>
      </c>
      <c r="H314" s="199">
        <v>2456948393</v>
      </c>
      <c r="I314" s="74">
        <f>142.5/111.82</f>
        <v>1.2743695224467895</v>
      </c>
      <c r="J314" s="76" t="s">
        <v>316</v>
      </c>
      <c r="K314" s="153">
        <f>+E314/I314</f>
        <v>2456948392.7929826</v>
      </c>
      <c r="L314" s="170" t="s">
        <v>217</v>
      </c>
      <c r="M314" s="54" t="s">
        <v>900</v>
      </c>
      <c r="O314" s="178"/>
      <c r="P314" s="178"/>
      <c r="Q314" s="178"/>
    </row>
    <row r="315" spans="1:17" ht="14.25" x14ac:dyDescent="0.2">
      <c r="A315" s="175" t="s">
        <v>529</v>
      </c>
      <c r="B315" s="375"/>
      <c r="C315" s="371" t="s">
        <v>698</v>
      </c>
      <c r="D315" s="55" t="s">
        <v>142</v>
      </c>
      <c r="E315" s="152">
        <v>4008101</v>
      </c>
      <c r="F315" s="196" t="s">
        <v>322</v>
      </c>
      <c r="G315" s="195">
        <v>43431</v>
      </c>
      <c r="H315" s="199"/>
      <c r="I315" s="74">
        <f>142.5/111.82</f>
        <v>1.2743695224467895</v>
      </c>
      <c r="J315" s="76" t="s">
        <v>323</v>
      </c>
      <c r="K315" s="153">
        <f>+E315/I315</f>
        <v>3145163.8864561403</v>
      </c>
      <c r="L315" s="170" t="s">
        <v>324</v>
      </c>
      <c r="M315" s="54" t="s">
        <v>898</v>
      </c>
      <c r="N315" s="167" t="s">
        <v>899</v>
      </c>
      <c r="O315" s="178"/>
      <c r="P315" s="178"/>
      <c r="Q315" s="178"/>
    </row>
    <row r="316" spans="1:17" ht="14.25" x14ac:dyDescent="0.2">
      <c r="A316" s="175" t="s">
        <v>529</v>
      </c>
      <c r="B316" s="375" t="s">
        <v>182</v>
      </c>
      <c r="C316" s="371" t="s">
        <v>698</v>
      </c>
      <c r="D316" s="55" t="s">
        <v>142</v>
      </c>
      <c r="E316" s="152">
        <v>3134795450</v>
      </c>
      <c r="F316" s="196" t="s">
        <v>712</v>
      </c>
      <c r="G316" s="195">
        <v>43432</v>
      </c>
      <c r="H316" s="199">
        <v>2456948393</v>
      </c>
      <c r="I316" s="74">
        <f>142.67/111.82</f>
        <v>1.2758898229297084</v>
      </c>
      <c r="J316" s="76" t="s">
        <v>323</v>
      </c>
      <c r="K316" s="153">
        <f>+E316/I316</f>
        <v>2456948392.9277353</v>
      </c>
      <c r="L316" s="170" t="s">
        <v>217</v>
      </c>
      <c r="M316" s="54" t="s">
        <v>898</v>
      </c>
      <c r="N316" s="200" t="s">
        <v>897</v>
      </c>
      <c r="O316" s="178"/>
      <c r="P316" s="178"/>
      <c r="Q316" s="178"/>
    </row>
    <row r="317" spans="1:17" ht="14.25" x14ac:dyDescent="0.2">
      <c r="A317" s="175" t="s">
        <v>529</v>
      </c>
      <c r="B317" s="375" t="s">
        <v>183</v>
      </c>
      <c r="C317" s="371" t="s">
        <v>698</v>
      </c>
      <c r="D317" s="55" t="s">
        <v>142</v>
      </c>
      <c r="E317" s="152">
        <v>3138530750</v>
      </c>
      <c r="F317" s="196" t="s">
        <v>713</v>
      </c>
      <c r="G317" s="195">
        <v>43444</v>
      </c>
      <c r="H317" s="199">
        <v>2456948393</v>
      </c>
      <c r="I317" s="74">
        <f>142.84/111.82</f>
        <v>1.2774101234126276</v>
      </c>
      <c r="J317" s="76" t="s">
        <v>325</v>
      </c>
      <c r="K317" s="153">
        <f>+E317/I317</f>
        <v>2456948393.0621672</v>
      </c>
      <c r="L317" s="170" t="s">
        <v>217</v>
      </c>
      <c r="M317" s="54" t="s">
        <v>896</v>
      </c>
      <c r="O317" s="178"/>
      <c r="P317" s="178"/>
      <c r="Q317" s="178"/>
    </row>
    <row r="318" spans="1:17" ht="14.25" x14ac:dyDescent="0.2">
      <c r="A318" s="175" t="s">
        <v>529</v>
      </c>
      <c r="B318" s="375" t="s">
        <v>185</v>
      </c>
      <c r="C318" s="371" t="s">
        <v>698</v>
      </c>
      <c r="D318" s="55" t="s">
        <v>142</v>
      </c>
      <c r="E318" s="152">
        <v>3138530750</v>
      </c>
      <c r="F318" s="196" t="s">
        <v>714</v>
      </c>
      <c r="G318" s="195">
        <v>43444</v>
      </c>
      <c r="H318" s="199">
        <v>2456948393</v>
      </c>
      <c r="I318" s="74">
        <f>142.84/111.82</f>
        <v>1.2774101234126276</v>
      </c>
      <c r="J318" s="76" t="s">
        <v>325</v>
      </c>
      <c r="K318" s="153">
        <f>+E318/I318</f>
        <v>2456948393.0621672</v>
      </c>
      <c r="L318" s="170" t="s">
        <v>217</v>
      </c>
      <c r="M318" s="54" t="s">
        <v>896</v>
      </c>
      <c r="O318" s="178"/>
      <c r="P318" s="178"/>
      <c r="Q318" s="178"/>
    </row>
    <row r="319" spans="1:17" ht="14.25" x14ac:dyDescent="0.2">
      <c r="A319" s="175" t="s">
        <v>529</v>
      </c>
      <c r="B319" s="375" t="s">
        <v>187</v>
      </c>
      <c r="C319" s="371" t="s">
        <v>698</v>
      </c>
      <c r="D319" s="55" t="s">
        <v>142</v>
      </c>
      <c r="E319" s="152">
        <v>3166875084</v>
      </c>
      <c r="F319" s="196" t="s">
        <v>715</v>
      </c>
      <c r="G319" s="195">
        <v>43507</v>
      </c>
      <c r="H319" s="199">
        <v>2456948393</v>
      </c>
      <c r="I319" s="74">
        <f>100.6/78.05</f>
        <v>1.2889173606662396</v>
      </c>
      <c r="J319" s="76" t="s">
        <v>337</v>
      </c>
      <c r="K319" s="153">
        <f>+E319/I319</f>
        <v>2457003979.1868787</v>
      </c>
      <c r="L319" s="170" t="s">
        <v>217</v>
      </c>
      <c r="M319" s="54" t="s">
        <v>895</v>
      </c>
      <c r="O319" s="178"/>
      <c r="P319" s="178"/>
      <c r="Q319" s="178"/>
    </row>
    <row r="320" spans="1:17" ht="14.25" x14ac:dyDescent="0.2">
      <c r="A320" s="175" t="s">
        <v>529</v>
      </c>
      <c r="B320" s="375" t="s">
        <v>189</v>
      </c>
      <c r="C320" s="371" t="s">
        <v>698</v>
      </c>
      <c r="D320" s="55" t="s">
        <v>142</v>
      </c>
      <c r="E320" s="152">
        <v>7000000000</v>
      </c>
      <c r="F320" s="196" t="s">
        <v>716</v>
      </c>
      <c r="G320" s="195">
        <v>43550</v>
      </c>
      <c r="H320" s="199">
        <v>2456948393</v>
      </c>
      <c r="I320" s="74">
        <f>101.18/78.05</f>
        <v>1.2963484945547727</v>
      </c>
      <c r="J320" s="76" t="s">
        <v>344</v>
      </c>
      <c r="K320" s="153">
        <f>+E320/I320</f>
        <v>5399782565.7244511</v>
      </c>
      <c r="L320" s="170" t="s">
        <v>345</v>
      </c>
      <c r="M320" s="54" t="s">
        <v>894</v>
      </c>
      <c r="O320" s="178"/>
      <c r="P320" s="178"/>
      <c r="Q320" s="178"/>
    </row>
    <row r="321" spans="1:18" ht="15" x14ac:dyDescent="0.2">
      <c r="A321" s="175" t="s">
        <v>529</v>
      </c>
      <c r="B321" s="375" t="s">
        <v>191</v>
      </c>
      <c r="C321" s="371" t="s">
        <v>698</v>
      </c>
      <c r="D321" s="55" t="s">
        <v>142</v>
      </c>
      <c r="E321" s="197"/>
      <c r="F321" s="196" t="s">
        <v>717</v>
      </c>
      <c r="G321" s="195"/>
      <c r="H321" s="199">
        <v>2456948393</v>
      </c>
      <c r="I321" s="74">
        <f>101.18/78.05</f>
        <v>1.2963484945547727</v>
      </c>
      <c r="J321" s="76"/>
      <c r="K321" s="153"/>
      <c r="L321" s="198" t="s">
        <v>401</v>
      </c>
      <c r="M321" s="54"/>
      <c r="O321" s="178"/>
      <c r="P321" s="178"/>
      <c r="Q321" s="178"/>
    </row>
    <row r="322" spans="1:18" ht="15" x14ac:dyDescent="0.2">
      <c r="A322" s="175" t="s">
        <v>529</v>
      </c>
      <c r="B322" s="375" t="s">
        <v>245</v>
      </c>
      <c r="C322" s="371" t="s">
        <v>698</v>
      </c>
      <c r="D322" s="55" t="s">
        <v>142</v>
      </c>
      <c r="E322" s="197"/>
      <c r="F322" s="196" t="s">
        <v>718</v>
      </c>
      <c r="G322" s="195"/>
      <c r="H322" s="194">
        <v>1455974867</v>
      </c>
      <c r="I322" s="74">
        <f>101.18/78.05</f>
        <v>1.2963484945547727</v>
      </c>
      <c r="J322" s="76"/>
      <c r="K322" s="153"/>
      <c r="L322" s="198" t="s">
        <v>401</v>
      </c>
      <c r="M322" s="54"/>
      <c r="O322" s="178"/>
      <c r="P322" s="178"/>
      <c r="Q322" s="178"/>
    </row>
    <row r="323" spans="1:18" ht="15" x14ac:dyDescent="0.2">
      <c r="A323" s="175" t="s">
        <v>529</v>
      </c>
      <c r="B323" s="375" t="s">
        <v>246</v>
      </c>
      <c r="C323" s="371" t="s">
        <v>698</v>
      </c>
      <c r="D323" s="55" t="s">
        <v>142</v>
      </c>
      <c r="E323" s="197">
        <v>6309098263</v>
      </c>
      <c r="F323" s="196" t="s">
        <v>719</v>
      </c>
      <c r="G323" s="195">
        <v>43612</v>
      </c>
      <c r="H323" s="194">
        <v>1455974867</v>
      </c>
      <c r="I323" s="74">
        <f>102.12/78.05</f>
        <v>1.3083920563741192</v>
      </c>
      <c r="J323" s="76" t="s">
        <v>400</v>
      </c>
      <c r="K323" s="153">
        <f>+E323/I323</f>
        <v>4822024279.5451431</v>
      </c>
      <c r="L323" s="170" t="s">
        <v>420</v>
      </c>
      <c r="M323" s="54"/>
      <c r="N323" s="167" t="s">
        <v>893</v>
      </c>
      <c r="O323" s="178"/>
      <c r="P323" s="178"/>
      <c r="Q323" s="178"/>
    </row>
    <row r="324" spans="1:18" ht="15" x14ac:dyDescent="0.2">
      <c r="A324" s="175" t="s">
        <v>529</v>
      </c>
      <c r="B324" s="375" t="s">
        <v>247</v>
      </c>
      <c r="C324" s="371" t="s">
        <v>698</v>
      </c>
      <c r="D324" s="55" t="s">
        <v>142</v>
      </c>
      <c r="E324" s="197"/>
      <c r="F324" s="196" t="s">
        <v>720</v>
      </c>
      <c r="G324" s="195"/>
      <c r="H324" s="194">
        <v>1455974867</v>
      </c>
      <c r="I324" s="74"/>
      <c r="J324" s="76"/>
      <c r="K324" s="153"/>
      <c r="L324" s="170" t="s">
        <v>217</v>
      </c>
      <c r="M324" s="54"/>
      <c r="O324" s="178"/>
      <c r="P324" s="178"/>
      <c r="Q324" s="178"/>
    </row>
    <row r="325" spans="1:18" ht="15" x14ac:dyDescent="0.2">
      <c r="A325" s="175" t="s">
        <v>529</v>
      </c>
      <c r="B325" s="375" t="s">
        <v>248</v>
      </c>
      <c r="C325" s="371" t="s">
        <v>698</v>
      </c>
      <c r="D325" s="55" t="s">
        <v>142</v>
      </c>
      <c r="E325" s="197"/>
      <c r="F325" s="196" t="s">
        <v>721</v>
      </c>
      <c r="G325" s="195"/>
      <c r="H325" s="194">
        <v>1455974867</v>
      </c>
      <c r="I325" s="74"/>
      <c r="J325" s="76"/>
      <c r="K325" s="153"/>
      <c r="L325" s="170" t="s">
        <v>217</v>
      </c>
      <c r="M325" s="54"/>
      <c r="O325" s="178"/>
      <c r="P325" s="178"/>
      <c r="Q325" s="178"/>
    </row>
    <row r="326" spans="1:18" ht="15" x14ac:dyDescent="0.25">
      <c r="A326" s="175" t="s">
        <v>529</v>
      </c>
      <c r="B326" s="143" t="s">
        <v>249</v>
      </c>
      <c r="C326" s="144" t="s">
        <v>698</v>
      </c>
      <c r="D326" s="58" t="s">
        <v>142</v>
      </c>
      <c r="E326" s="145">
        <v>2643821720</v>
      </c>
      <c r="F326" s="146" t="s">
        <v>722</v>
      </c>
      <c r="G326" s="193">
        <v>43650</v>
      </c>
      <c r="H326" s="192">
        <v>1455974867</v>
      </c>
      <c r="I326" s="74">
        <f>102.44/78.05</f>
        <v>1.3124919923126201</v>
      </c>
      <c r="J326" s="76" t="s">
        <v>421</v>
      </c>
      <c r="K326" s="153">
        <f>+E326/I326</f>
        <v>2014352647.8524013</v>
      </c>
      <c r="L326" s="191" t="s">
        <v>422</v>
      </c>
      <c r="M326" s="54" t="s">
        <v>892</v>
      </c>
      <c r="O326" s="178"/>
      <c r="P326" s="178"/>
      <c r="Q326" s="178"/>
    </row>
    <row r="327" spans="1:18" ht="15" x14ac:dyDescent="0.25">
      <c r="A327" s="175" t="s">
        <v>529</v>
      </c>
      <c r="B327" s="143" t="s">
        <v>778</v>
      </c>
      <c r="C327" s="144" t="s">
        <v>698</v>
      </c>
      <c r="D327" s="58" t="s">
        <v>142</v>
      </c>
      <c r="E327" s="145">
        <v>9754517</v>
      </c>
      <c r="F327" s="146" t="s">
        <v>722</v>
      </c>
      <c r="G327" s="193">
        <v>43658</v>
      </c>
      <c r="H327" s="192"/>
      <c r="I327" s="74">
        <f>102.71/78.05</f>
        <v>1.3159513132607303</v>
      </c>
      <c r="J327" s="76" t="s">
        <v>423</v>
      </c>
      <c r="K327" s="153">
        <f>+E327/I327</f>
        <v>7412521.194138837</v>
      </c>
      <c r="L327" s="191" t="s">
        <v>424</v>
      </c>
      <c r="M327" s="54" t="s">
        <v>891</v>
      </c>
      <c r="O327" s="178"/>
      <c r="P327" s="178"/>
      <c r="Q327" s="178"/>
    </row>
    <row r="328" spans="1:18" ht="26.25" x14ac:dyDescent="0.25">
      <c r="A328" s="332" t="s">
        <v>529</v>
      </c>
      <c r="B328" s="331" t="s">
        <v>778</v>
      </c>
      <c r="C328" s="330" t="s">
        <v>698</v>
      </c>
      <c r="D328" s="329" t="s">
        <v>142</v>
      </c>
      <c r="E328" s="328">
        <v>3518806545</v>
      </c>
      <c r="F328" s="327"/>
      <c r="G328" s="326">
        <v>43916</v>
      </c>
      <c r="H328" s="325"/>
      <c r="I328" s="324">
        <f>104.94/78.05</f>
        <v>1.3445227418321588</v>
      </c>
      <c r="J328" s="323" t="s">
        <v>723</v>
      </c>
      <c r="K328" s="322">
        <f>+E328/I328</f>
        <v>2617141707.9974275</v>
      </c>
      <c r="L328" s="321"/>
      <c r="M328" s="320" t="s">
        <v>890</v>
      </c>
      <c r="N328" s="319" t="s">
        <v>998</v>
      </c>
      <c r="O328" s="178"/>
      <c r="P328" s="178"/>
      <c r="Q328" s="178"/>
    </row>
    <row r="329" spans="1:18" ht="26.25" x14ac:dyDescent="0.25">
      <c r="A329" s="332" t="s">
        <v>529</v>
      </c>
      <c r="B329" s="331" t="s">
        <v>778</v>
      </c>
      <c r="C329" s="330" t="s">
        <v>698</v>
      </c>
      <c r="D329" s="329" t="s">
        <v>142</v>
      </c>
      <c r="E329" s="328">
        <v>-3518806545</v>
      </c>
      <c r="F329" s="327"/>
      <c r="G329" s="326">
        <v>43916</v>
      </c>
      <c r="H329" s="325"/>
      <c r="I329" s="324">
        <f>104.94/78.05</f>
        <v>1.3445227418321588</v>
      </c>
      <c r="J329" s="323" t="s">
        <v>723</v>
      </c>
      <c r="K329" s="322">
        <f>+E329/I329</f>
        <v>-2617141707.9974275</v>
      </c>
      <c r="L329" s="321"/>
      <c r="M329" s="320" t="s">
        <v>890</v>
      </c>
      <c r="N329" s="319" t="s">
        <v>998</v>
      </c>
      <c r="O329" s="178"/>
      <c r="P329" s="178"/>
      <c r="Q329" s="178"/>
    </row>
    <row r="330" spans="1:18" s="118" customFormat="1" x14ac:dyDescent="0.2">
      <c r="A330" s="175" t="s">
        <v>529</v>
      </c>
      <c r="B330" s="147" t="s">
        <v>425</v>
      </c>
      <c r="C330" s="148"/>
      <c r="D330" s="121"/>
      <c r="E330" s="149">
        <f>SUM(E301:E329)</f>
        <v>65730763874</v>
      </c>
      <c r="F330" s="150"/>
      <c r="G330" s="190"/>
      <c r="H330" s="189">
        <f>SUM(H301:H327)</f>
        <v>51504945409</v>
      </c>
      <c r="I330" s="122"/>
      <c r="J330" s="123"/>
      <c r="K330" s="188">
        <f>SUM(K301:K329)</f>
        <v>51554838521.714149</v>
      </c>
      <c r="L330" s="187">
        <f>+K330-H330</f>
        <v>49893112.714149475</v>
      </c>
      <c r="M330" s="186"/>
      <c r="O330" s="57"/>
      <c r="P330" s="57"/>
      <c r="Q330" s="57"/>
      <c r="R330" s="57"/>
    </row>
    <row r="331" spans="1:18" x14ac:dyDescent="0.2">
      <c r="A331" s="175" t="s">
        <v>529</v>
      </c>
      <c r="B331" s="185"/>
      <c r="C331" s="185"/>
      <c r="D331" s="54"/>
      <c r="E331" s="54"/>
      <c r="F331" s="54"/>
      <c r="G331" s="184"/>
      <c r="H331" s="183"/>
      <c r="I331" s="54"/>
      <c r="J331" s="54"/>
      <c r="K331" s="54"/>
      <c r="L331" s="54"/>
      <c r="M331" s="54"/>
    </row>
    <row r="332" spans="1:18" s="177" customFormat="1" ht="15" x14ac:dyDescent="0.25">
      <c r="A332" s="177" t="s">
        <v>478</v>
      </c>
      <c r="B332" s="373" t="s">
        <v>331</v>
      </c>
      <c r="C332" s="373"/>
      <c r="D332" s="373"/>
      <c r="E332" s="373"/>
      <c r="F332" s="373"/>
      <c r="G332" s="182"/>
      <c r="H332" s="373"/>
      <c r="I332" s="373"/>
      <c r="J332" s="373"/>
      <c r="K332" s="373"/>
      <c r="L332" s="373"/>
      <c r="M332" s="179"/>
      <c r="O332" s="178"/>
      <c r="P332" s="178"/>
      <c r="Q332" s="178"/>
      <c r="R332" s="178"/>
    </row>
    <row r="333" spans="1:18" s="177" customFormat="1" ht="15" x14ac:dyDescent="0.25">
      <c r="A333" s="181" t="s">
        <v>529</v>
      </c>
      <c r="B333" s="138" t="s">
        <v>129</v>
      </c>
      <c r="C333" s="139" t="s">
        <v>130</v>
      </c>
      <c r="D333" s="139" t="s">
        <v>131</v>
      </c>
      <c r="E333" s="851" t="s">
        <v>132</v>
      </c>
      <c r="F333" s="852"/>
      <c r="G333" s="851" t="s">
        <v>133</v>
      </c>
      <c r="H333" s="853"/>
      <c r="I333" s="853"/>
      <c r="J333" s="853"/>
      <c r="K333" s="852"/>
      <c r="L333" s="140" t="s">
        <v>96</v>
      </c>
      <c r="M333" s="140" t="s">
        <v>777</v>
      </c>
      <c r="O333" s="178"/>
      <c r="P333" s="178"/>
      <c r="Q333" s="178"/>
      <c r="R333" s="178"/>
    </row>
    <row r="334" spans="1:18" s="177" customFormat="1" ht="45" x14ac:dyDescent="0.25">
      <c r="A334" s="181" t="s">
        <v>529</v>
      </c>
      <c r="B334" s="138"/>
      <c r="C334" s="139"/>
      <c r="D334" s="139"/>
      <c r="E334" s="141" t="s">
        <v>134</v>
      </c>
      <c r="F334" s="141" t="s">
        <v>135</v>
      </c>
      <c r="G334" s="180" t="s">
        <v>607</v>
      </c>
      <c r="H334" s="141" t="s">
        <v>136</v>
      </c>
      <c r="I334" s="141" t="s">
        <v>137</v>
      </c>
      <c r="J334" s="141" t="s">
        <v>138</v>
      </c>
      <c r="K334" s="141" t="s">
        <v>139</v>
      </c>
      <c r="L334" s="140"/>
      <c r="M334" s="179"/>
      <c r="O334" s="178"/>
      <c r="P334" s="178"/>
      <c r="Q334" s="178"/>
      <c r="R334" s="178"/>
    </row>
    <row r="335" spans="1:18" ht="28.5" x14ac:dyDescent="0.2">
      <c r="A335" s="175" t="s">
        <v>529</v>
      </c>
      <c r="B335" s="375" t="s">
        <v>776</v>
      </c>
      <c r="C335" s="154" t="s">
        <v>724</v>
      </c>
      <c r="D335" s="55" t="s">
        <v>142</v>
      </c>
      <c r="E335" s="137">
        <v>13016958191</v>
      </c>
      <c r="F335" s="174">
        <v>43465</v>
      </c>
      <c r="G335" s="176">
        <v>43462</v>
      </c>
      <c r="H335" s="172">
        <v>10214287467</v>
      </c>
      <c r="I335" s="78">
        <f>142.84/111.82</f>
        <v>1.2774101234126276</v>
      </c>
      <c r="J335" s="79" t="s">
        <v>332</v>
      </c>
      <c r="K335" s="50">
        <f>+E335/I335</f>
        <v>10190116668.42355</v>
      </c>
      <c r="L335" s="170" t="s">
        <v>725</v>
      </c>
      <c r="M335" s="54"/>
    </row>
    <row r="336" spans="1:18" ht="15" x14ac:dyDescent="0.2">
      <c r="A336" s="175" t="s">
        <v>529</v>
      </c>
      <c r="B336" s="375"/>
      <c r="C336" s="155" t="s">
        <v>724</v>
      </c>
      <c r="D336" s="55" t="s">
        <v>142</v>
      </c>
      <c r="E336" s="137">
        <v>30876023</v>
      </c>
      <c r="F336" s="174">
        <v>43465</v>
      </c>
      <c r="G336" s="176">
        <v>43469</v>
      </c>
      <c r="H336" s="172"/>
      <c r="I336" s="78">
        <f>142.84/111.82</f>
        <v>1.2774101234126276</v>
      </c>
      <c r="J336" s="79" t="s">
        <v>332</v>
      </c>
      <c r="K336" s="50">
        <f>+E336/I336</f>
        <v>24170798.738868661</v>
      </c>
      <c r="L336" s="170" t="s">
        <v>242</v>
      </c>
      <c r="M336" s="54"/>
    </row>
    <row r="337" spans="1:13" ht="15" x14ac:dyDescent="0.2">
      <c r="A337" s="175" t="s">
        <v>529</v>
      </c>
      <c r="B337" s="375" t="s">
        <v>775</v>
      </c>
      <c r="C337" s="155" t="s">
        <v>724</v>
      </c>
      <c r="D337" s="55" t="s">
        <v>142</v>
      </c>
      <c r="E337" s="137">
        <v>55856315730</v>
      </c>
      <c r="F337" s="174">
        <v>43830</v>
      </c>
      <c r="G337" s="173">
        <v>43829</v>
      </c>
      <c r="H337" s="172">
        <v>42105325891</v>
      </c>
      <c r="I337" s="86">
        <f>103.54/78.05</f>
        <v>1.3265855221012173</v>
      </c>
      <c r="J337" s="87" t="s">
        <v>479</v>
      </c>
      <c r="K337" s="171">
        <f>+E337/I337</f>
        <v>42105325890.733047</v>
      </c>
      <c r="L337" s="170" t="s">
        <v>480</v>
      </c>
      <c r="M337" s="54" t="s">
        <v>889</v>
      </c>
    </row>
    <row r="338" spans="1:13" ht="15" x14ac:dyDescent="0.2">
      <c r="A338" s="175"/>
      <c r="B338" s="375" t="s">
        <v>1036</v>
      </c>
      <c r="C338" s="155" t="s">
        <v>724</v>
      </c>
      <c r="D338" s="55" t="s">
        <v>142</v>
      </c>
      <c r="E338" s="137">
        <v>150534930432</v>
      </c>
      <c r="F338" s="174">
        <v>44196</v>
      </c>
      <c r="G338" s="334">
        <v>44195</v>
      </c>
      <c r="H338" s="333">
        <v>111812441190</v>
      </c>
      <c r="I338" s="86">
        <f>105.08/78.05</f>
        <v>1.3463164638052532</v>
      </c>
      <c r="J338" s="87" t="s">
        <v>1035</v>
      </c>
      <c r="K338" s="171">
        <f>+E338/I338</f>
        <v>111812441189.73734</v>
      </c>
      <c r="L338" s="170" t="s">
        <v>480</v>
      </c>
      <c r="M338" s="54" t="s">
        <v>1125</v>
      </c>
    </row>
    <row r="339" spans="1:13" ht="13.5" thickBot="1" x14ac:dyDescent="0.25"/>
    <row r="340" spans="1:13" ht="13.5" thickBot="1" x14ac:dyDescent="0.25">
      <c r="H340" s="318">
        <v>51504945409</v>
      </c>
      <c r="I340" s="317"/>
    </row>
    <row r="342" spans="1:13" x14ac:dyDescent="0.2">
      <c r="H342" s="316">
        <f>+H330-H340</f>
        <v>0</v>
      </c>
    </row>
  </sheetData>
  <autoFilter ref="A4:R188" xr:uid="{00000000-0009-0000-0000-000000000000}">
    <filterColumn colId="4" showButton="0"/>
    <filterColumn colId="6" showButton="0"/>
    <filterColumn colId="7" showButton="0"/>
    <filterColumn colId="8" showButton="0"/>
    <filterColumn colId="9" showButton="0"/>
  </autoFilter>
  <mergeCells count="36">
    <mergeCell ref="B202:B203"/>
    <mergeCell ref="F202:F203"/>
    <mergeCell ref="H202:H203"/>
    <mergeCell ref="H193:H194"/>
    <mergeCell ref="H197:H198"/>
    <mergeCell ref="H208:H209"/>
    <mergeCell ref="L202:L203"/>
    <mergeCell ref="B270:B271"/>
    <mergeCell ref="H270:H271"/>
    <mergeCell ref="H185:H186"/>
    <mergeCell ref="B185:B186"/>
    <mergeCell ref="E191:F191"/>
    <mergeCell ref="G191:K191"/>
    <mergeCell ref="E205:F205"/>
    <mergeCell ref="B223:B224"/>
    <mergeCell ref="H223:H224"/>
    <mergeCell ref="F208:F209"/>
    <mergeCell ref="B208:B209"/>
    <mergeCell ref="E299:F299"/>
    <mergeCell ref="G299:K299"/>
    <mergeCell ref="G205:K205"/>
    <mergeCell ref="B2:L2"/>
    <mergeCell ref="E4:F4"/>
    <mergeCell ref="G4:K4"/>
    <mergeCell ref="E171:F171"/>
    <mergeCell ref="G171:K171"/>
    <mergeCell ref="M217:M218"/>
    <mergeCell ref="O233:Q233"/>
    <mergeCell ref="E333:F333"/>
    <mergeCell ref="G333:K333"/>
    <mergeCell ref="E227:F227"/>
    <mergeCell ref="G227:K227"/>
    <mergeCell ref="E289:F289"/>
    <mergeCell ref="G289:K289"/>
    <mergeCell ref="H302:H303"/>
    <mergeCell ref="H307:H308"/>
  </mergeCells>
  <conditionalFormatting sqref="G1:G3 G6:G131 G133:G166 G173:G190 G193:G203 G207:G225 G229:G288 G302:G331 G291:G298 G335:G1048576 G169:G170">
    <cfRule type="cellIs" dxfId="3" priority="4" operator="greaterThan">
      <formula>$B$1</formula>
    </cfRule>
  </conditionalFormatting>
  <conditionalFormatting sqref="G168">
    <cfRule type="cellIs" dxfId="2" priority="3" operator="greaterThan">
      <formula>$B$1</formula>
    </cfRule>
  </conditionalFormatting>
  <conditionalFormatting sqref="G167">
    <cfRule type="cellIs" dxfId="1" priority="2" operator="greaterThan">
      <formula>$B$1</formula>
    </cfRule>
  </conditionalFormatting>
  <conditionalFormatting sqref="M1:M1048576">
    <cfRule type="duplicateValues" dxfId="0" priority="1"/>
  </conditionalFormatting>
  <hyperlinks>
    <hyperlink ref="K280" r:id="rId1" display="..\..\Varios\2019-10-07 Cálculos incumplimiento fondeo Ambiental.xlsx" xr:uid="{52D98C81-7CEA-4D85-9647-94A00BB79127}"/>
  </hyperlinks>
  <pageMargins left="0.70866141732283472" right="0.70866141732283472" top="0.74803149606299213" bottom="0.74803149606299213" header="0.31496062992125984" footer="0.31496062992125984"/>
  <pageSetup paperSize="9" scale="33" fitToHeight="0" orientation="portrait"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L88"/>
  <sheetViews>
    <sheetView topLeftCell="A13" zoomScale="85" zoomScaleNormal="85" workbookViewId="0">
      <selection activeCell="B9" sqref="B9:G22"/>
    </sheetView>
  </sheetViews>
  <sheetFormatPr baseColWidth="10" defaultColWidth="11.5703125" defaultRowHeight="15" x14ac:dyDescent="0.25"/>
  <cols>
    <col min="1" max="16384" width="11.5703125" style="129"/>
  </cols>
  <sheetData>
    <row r="1" spans="2:12" x14ac:dyDescent="0.25">
      <c r="B1" s="868"/>
      <c r="C1" s="869"/>
      <c r="D1" s="870"/>
      <c r="E1" s="874" t="s">
        <v>251</v>
      </c>
      <c r="F1" s="874"/>
      <c r="G1" s="874"/>
      <c r="H1" s="874"/>
      <c r="I1" s="874"/>
      <c r="J1" s="874"/>
      <c r="K1" s="876"/>
      <c r="L1" s="877"/>
    </row>
    <row r="2" spans="2:12" x14ac:dyDescent="0.25">
      <c r="B2" s="871"/>
      <c r="C2" s="872"/>
      <c r="D2" s="873"/>
      <c r="E2" s="875"/>
      <c r="F2" s="875"/>
      <c r="G2" s="875"/>
      <c r="H2" s="875"/>
      <c r="I2" s="875"/>
      <c r="J2" s="875"/>
      <c r="K2" s="878"/>
      <c r="L2" s="879"/>
    </row>
    <row r="3" spans="2:12" x14ac:dyDescent="0.25">
      <c r="B3" s="871"/>
      <c r="C3" s="872"/>
      <c r="D3" s="873"/>
      <c r="E3" s="875"/>
      <c r="F3" s="875"/>
      <c r="G3" s="875"/>
      <c r="H3" s="875"/>
      <c r="I3" s="875"/>
      <c r="J3" s="875"/>
      <c r="K3" s="878"/>
      <c r="L3" s="879"/>
    </row>
    <row r="4" spans="2:12" x14ac:dyDescent="0.25">
      <c r="B4" s="871"/>
      <c r="C4" s="872"/>
      <c r="D4" s="873"/>
      <c r="E4" s="880" t="s">
        <v>979</v>
      </c>
      <c r="F4" s="880"/>
      <c r="G4" s="880"/>
      <c r="H4" s="880"/>
      <c r="I4" s="880"/>
      <c r="J4" s="880"/>
      <c r="K4" s="878"/>
      <c r="L4" s="879"/>
    </row>
    <row r="5" spans="2:12" x14ac:dyDescent="0.25">
      <c r="B5" s="871"/>
      <c r="C5" s="872"/>
      <c r="D5" s="873"/>
      <c r="E5" s="881"/>
      <c r="F5" s="881"/>
      <c r="G5" s="881"/>
      <c r="H5" s="881"/>
      <c r="I5" s="882" t="s">
        <v>980</v>
      </c>
      <c r="J5" s="883">
        <v>8</v>
      </c>
      <c r="K5" s="878"/>
      <c r="L5" s="879"/>
    </row>
    <row r="6" spans="2:12" ht="24" x14ac:dyDescent="0.25">
      <c r="B6" s="871"/>
      <c r="C6" s="872"/>
      <c r="D6" s="873"/>
      <c r="E6" s="358" t="s">
        <v>289</v>
      </c>
      <c r="F6" s="301">
        <v>44244</v>
      </c>
      <c r="G6" s="302" t="s">
        <v>290</v>
      </c>
      <c r="H6" s="301">
        <v>44251</v>
      </c>
      <c r="I6" s="882"/>
      <c r="J6" s="883"/>
      <c r="K6" s="884"/>
      <c r="L6" s="885"/>
    </row>
    <row r="7" spans="2:12" ht="24" x14ac:dyDescent="0.25">
      <c r="B7" s="886" t="s">
        <v>981</v>
      </c>
      <c r="C7" s="886"/>
      <c r="D7" s="886"/>
      <c r="E7" s="886" t="s">
        <v>106</v>
      </c>
      <c r="F7" s="886"/>
      <c r="G7" s="886" t="s">
        <v>107</v>
      </c>
      <c r="H7" s="886"/>
      <c r="I7" s="357" t="s">
        <v>4</v>
      </c>
      <c r="J7" s="357" t="s">
        <v>2</v>
      </c>
      <c r="K7" s="887" t="s">
        <v>0</v>
      </c>
      <c r="L7" s="887"/>
    </row>
    <row r="8" spans="2:12" ht="24" x14ac:dyDescent="0.25">
      <c r="B8" s="888" t="s">
        <v>982</v>
      </c>
      <c r="C8" s="888"/>
      <c r="D8" s="888"/>
      <c r="E8" s="886" t="s">
        <v>983</v>
      </c>
      <c r="F8" s="886"/>
      <c r="G8" s="886" t="s">
        <v>983</v>
      </c>
      <c r="H8" s="886"/>
      <c r="I8" s="292">
        <v>41944</v>
      </c>
      <c r="J8" s="357">
        <v>1</v>
      </c>
      <c r="K8" s="887" t="s">
        <v>291</v>
      </c>
      <c r="L8" s="887"/>
    </row>
    <row r="9" spans="2:12" x14ac:dyDescent="0.25">
      <c r="B9" s="889" t="s">
        <v>452</v>
      </c>
      <c r="C9" s="890"/>
      <c r="D9" s="890"/>
      <c r="E9" s="890"/>
      <c r="F9" s="890"/>
      <c r="G9" s="891"/>
      <c r="H9" s="889" t="s">
        <v>453</v>
      </c>
      <c r="I9" s="890"/>
      <c r="J9" s="890"/>
      <c r="K9" s="890"/>
      <c r="L9" s="891"/>
    </row>
    <row r="10" spans="2:12" x14ac:dyDescent="0.25">
      <c r="B10" s="889"/>
      <c r="C10" s="890"/>
      <c r="D10" s="890"/>
      <c r="E10" s="890"/>
      <c r="F10" s="890"/>
      <c r="G10" s="891"/>
      <c r="H10" s="889"/>
      <c r="I10" s="890"/>
      <c r="J10" s="890"/>
      <c r="K10" s="890"/>
      <c r="L10" s="891"/>
    </row>
    <row r="11" spans="2:12" x14ac:dyDescent="0.25">
      <c r="B11" s="889"/>
      <c r="C11" s="890"/>
      <c r="D11" s="890"/>
      <c r="E11" s="890"/>
      <c r="F11" s="890"/>
      <c r="G11" s="891"/>
      <c r="H11" s="889"/>
      <c r="I11" s="890"/>
      <c r="J11" s="890"/>
      <c r="K11" s="890"/>
      <c r="L11" s="891"/>
    </row>
    <row r="12" spans="2:12" x14ac:dyDescent="0.25">
      <c r="B12" s="889"/>
      <c r="C12" s="890"/>
      <c r="D12" s="890"/>
      <c r="E12" s="890"/>
      <c r="F12" s="890"/>
      <c r="G12" s="891"/>
      <c r="H12" s="889"/>
      <c r="I12" s="890"/>
      <c r="J12" s="890"/>
      <c r="K12" s="890"/>
      <c r="L12" s="891"/>
    </row>
    <row r="13" spans="2:12" x14ac:dyDescent="0.25">
      <c r="B13" s="889"/>
      <c r="C13" s="890"/>
      <c r="D13" s="890"/>
      <c r="E13" s="890"/>
      <c r="F13" s="890"/>
      <c r="G13" s="891"/>
      <c r="H13" s="889"/>
      <c r="I13" s="890"/>
      <c r="J13" s="890"/>
      <c r="K13" s="890"/>
      <c r="L13" s="891"/>
    </row>
    <row r="14" spans="2:12" x14ac:dyDescent="0.25">
      <c r="B14" s="889"/>
      <c r="C14" s="890"/>
      <c r="D14" s="890"/>
      <c r="E14" s="890"/>
      <c r="F14" s="890"/>
      <c r="G14" s="891"/>
      <c r="H14" s="889"/>
      <c r="I14" s="890"/>
      <c r="J14" s="890"/>
      <c r="K14" s="890"/>
      <c r="L14" s="891"/>
    </row>
    <row r="15" spans="2:12" x14ac:dyDescent="0.25">
      <c r="B15" s="889"/>
      <c r="C15" s="890"/>
      <c r="D15" s="890"/>
      <c r="E15" s="890"/>
      <c r="F15" s="890"/>
      <c r="G15" s="891"/>
      <c r="H15" s="889"/>
      <c r="I15" s="890"/>
      <c r="J15" s="890"/>
      <c r="K15" s="890"/>
      <c r="L15" s="891"/>
    </row>
    <row r="16" spans="2:12" x14ac:dyDescent="0.25">
      <c r="B16" s="889"/>
      <c r="C16" s="890"/>
      <c r="D16" s="890"/>
      <c r="E16" s="890"/>
      <c r="F16" s="890"/>
      <c r="G16" s="891"/>
      <c r="H16" s="889"/>
      <c r="I16" s="890"/>
      <c r="J16" s="890"/>
      <c r="K16" s="890"/>
      <c r="L16" s="891"/>
    </row>
    <row r="17" spans="2:12" x14ac:dyDescent="0.25">
      <c r="B17" s="889"/>
      <c r="C17" s="890"/>
      <c r="D17" s="890"/>
      <c r="E17" s="890"/>
      <c r="F17" s="890"/>
      <c r="G17" s="891"/>
      <c r="H17" s="889"/>
      <c r="I17" s="890"/>
      <c r="J17" s="890"/>
      <c r="K17" s="890"/>
      <c r="L17" s="891"/>
    </row>
    <row r="18" spans="2:12" x14ac:dyDescent="0.25">
      <c r="B18" s="889"/>
      <c r="C18" s="890"/>
      <c r="D18" s="890"/>
      <c r="E18" s="890"/>
      <c r="F18" s="890"/>
      <c r="G18" s="891"/>
      <c r="H18" s="889"/>
      <c r="I18" s="890"/>
      <c r="J18" s="890"/>
      <c r="K18" s="890"/>
      <c r="L18" s="891"/>
    </row>
    <row r="19" spans="2:12" x14ac:dyDescent="0.25">
      <c r="B19" s="889"/>
      <c r="C19" s="890"/>
      <c r="D19" s="890"/>
      <c r="E19" s="890"/>
      <c r="F19" s="890"/>
      <c r="G19" s="891"/>
      <c r="H19" s="889"/>
      <c r="I19" s="890"/>
      <c r="J19" s="890"/>
      <c r="K19" s="890"/>
      <c r="L19" s="891"/>
    </row>
    <row r="20" spans="2:12" x14ac:dyDescent="0.25">
      <c r="B20" s="889"/>
      <c r="C20" s="890"/>
      <c r="D20" s="890"/>
      <c r="E20" s="890"/>
      <c r="F20" s="890"/>
      <c r="G20" s="891"/>
      <c r="H20" s="889"/>
      <c r="I20" s="890"/>
      <c r="J20" s="890"/>
      <c r="K20" s="890"/>
      <c r="L20" s="891"/>
    </row>
    <row r="21" spans="2:12" x14ac:dyDescent="0.25">
      <c r="B21" s="889"/>
      <c r="C21" s="890"/>
      <c r="D21" s="890"/>
      <c r="E21" s="890"/>
      <c r="F21" s="890"/>
      <c r="G21" s="891"/>
      <c r="H21" s="889"/>
      <c r="I21" s="890"/>
      <c r="J21" s="890"/>
      <c r="K21" s="890"/>
      <c r="L21" s="891"/>
    </row>
    <row r="22" spans="2:12" x14ac:dyDescent="0.25">
      <c r="B22" s="889"/>
      <c r="C22" s="890"/>
      <c r="D22" s="890"/>
      <c r="E22" s="890"/>
      <c r="F22" s="890"/>
      <c r="G22" s="891"/>
      <c r="H22" s="889"/>
      <c r="I22" s="890"/>
      <c r="J22" s="890"/>
      <c r="K22" s="890"/>
      <c r="L22" s="891"/>
    </row>
    <row r="23" spans="2:12" x14ac:dyDescent="0.25">
      <c r="B23" s="892" t="s">
        <v>1040</v>
      </c>
      <c r="C23" s="893"/>
      <c r="D23" s="893"/>
      <c r="E23" s="893"/>
      <c r="F23" s="893"/>
      <c r="G23" s="894"/>
      <c r="H23" s="898" t="s">
        <v>1041</v>
      </c>
      <c r="I23" s="899"/>
      <c r="J23" s="899"/>
      <c r="K23" s="899"/>
      <c r="L23" s="900"/>
    </row>
    <row r="24" spans="2:12" ht="15.75" thickBot="1" x14ac:dyDescent="0.3">
      <c r="B24" s="895"/>
      <c r="C24" s="896"/>
      <c r="D24" s="896"/>
      <c r="E24" s="896"/>
      <c r="F24" s="896"/>
      <c r="G24" s="897"/>
      <c r="H24" s="901"/>
      <c r="I24" s="902"/>
      <c r="J24" s="902"/>
      <c r="K24" s="902"/>
      <c r="L24" s="903"/>
    </row>
    <row r="25" spans="2:12" x14ac:dyDescent="0.25">
      <c r="B25" s="904" t="s">
        <v>452</v>
      </c>
      <c r="C25" s="905"/>
      <c r="D25" s="905"/>
      <c r="E25" s="905"/>
      <c r="F25" s="905"/>
      <c r="G25" s="906"/>
      <c r="H25" s="904" t="s">
        <v>453</v>
      </c>
      <c r="I25" s="905"/>
      <c r="J25" s="905"/>
      <c r="K25" s="905"/>
      <c r="L25" s="906"/>
    </row>
    <row r="26" spans="2:12" x14ac:dyDescent="0.25">
      <c r="B26" s="889"/>
      <c r="C26" s="890"/>
      <c r="D26" s="890"/>
      <c r="E26" s="890"/>
      <c r="F26" s="890"/>
      <c r="G26" s="891"/>
      <c r="H26" s="889"/>
      <c r="I26" s="890"/>
      <c r="J26" s="890"/>
      <c r="K26" s="890"/>
      <c r="L26" s="891"/>
    </row>
    <row r="27" spans="2:12" x14ac:dyDescent="0.25">
      <c r="B27" s="889"/>
      <c r="C27" s="890"/>
      <c r="D27" s="890"/>
      <c r="E27" s="890"/>
      <c r="F27" s="890"/>
      <c r="G27" s="891"/>
      <c r="H27" s="889"/>
      <c r="I27" s="890"/>
      <c r="J27" s="890"/>
      <c r="K27" s="890"/>
      <c r="L27" s="891"/>
    </row>
    <row r="28" spans="2:12" x14ac:dyDescent="0.25">
      <c r="B28" s="889"/>
      <c r="C28" s="890"/>
      <c r="D28" s="890"/>
      <c r="E28" s="890"/>
      <c r="F28" s="890"/>
      <c r="G28" s="891"/>
      <c r="H28" s="889"/>
      <c r="I28" s="890"/>
      <c r="J28" s="890"/>
      <c r="K28" s="890"/>
      <c r="L28" s="891"/>
    </row>
    <row r="29" spans="2:12" x14ac:dyDescent="0.25">
      <c r="B29" s="889"/>
      <c r="C29" s="890"/>
      <c r="D29" s="890"/>
      <c r="E29" s="890"/>
      <c r="F29" s="890"/>
      <c r="G29" s="891"/>
      <c r="H29" s="889"/>
      <c r="I29" s="890"/>
      <c r="J29" s="890"/>
      <c r="K29" s="890"/>
      <c r="L29" s="891"/>
    </row>
    <row r="30" spans="2:12" x14ac:dyDescent="0.25">
      <c r="B30" s="889"/>
      <c r="C30" s="890"/>
      <c r="D30" s="890"/>
      <c r="E30" s="890"/>
      <c r="F30" s="890"/>
      <c r="G30" s="891"/>
      <c r="H30" s="889"/>
      <c r="I30" s="890"/>
      <c r="J30" s="890"/>
      <c r="K30" s="890"/>
      <c r="L30" s="891"/>
    </row>
    <row r="31" spans="2:12" x14ac:dyDescent="0.25">
      <c r="B31" s="889"/>
      <c r="C31" s="890"/>
      <c r="D31" s="890"/>
      <c r="E31" s="890"/>
      <c r="F31" s="890"/>
      <c r="G31" s="891"/>
      <c r="H31" s="889"/>
      <c r="I31" s="890"/>
      <c r="J31" s="890"/>
      <c r="K31" s="890"/>
      <c r="L31" s="891"/>
    </row>
    <row r="32" spans="2:12" x14ac:dyDescent="0.25">
      <c r="B32" s="889"/>
      <c r="C32" s="890"/>
      <c r="D32" s="890"/>
      <c r="E32" s="890"/>
      <c r="F32" s="890"/>
      <c r="G32" s="891"/>
      <c r="H32" s="889"/>
      <c r="I32" s="890"/>
      <c r="J32" s="890"/>
      <c r="K32" s="890"/>
      <c r="L32" s="891"/>
    </row>
    <row r="33" spans="2:12" x14ac:dyDescent="0.25">
      <c r="B33" s="889"/>
      <c r="C33" s="890"/>
      <c r="D33" s="890"/>
      <c r="E33" s="890"/>
      <c r="F33" s="890"/>
      <c r="G33" s="891"/>
      <c r="H33" s="889"/>
      <c r="I33" s="890"/>
      <c r="J33" s="890"/>
      <c r="K33" s="890"/>
      <c r="L33" s="891"/>
    </row>
    <row r="34" spans="2:12" x14ac:dyDescent="0.25">
      <c r="B34" s="889"/>
      <c r="C34" s="890"/>
      <c r="D34" s="890"/>
      <c r="E34" s="890"/>
      <c r="F34" s="890"/>
      <c r="G34" s="891"/>
      <c r="H34" s="889"/>
      <c r="I34" s="890"/>
      <c r="J34" s="890"/>
      <c r="K34" s="890"/>
      <c r="L34" s="891"/>
    </row>
    <row r="35" spans="2:12" x14ac:dyDescent="0.25">
      <c r="B35" s="889"/>
      <c r="C35" s="890"/>
      <c r="D35" s="890"/>
      <c r="E35" s="890"/>
      <c r="F35" s="890"/>
      <c r="G35" s="891"/>
      <c r="H35" s="889"/>
      <c r="I35" s="890"/>
      <c r="J35" s="890"/>
      <c r="K35" s="890"/>
      <c r="L35" s="891"/>
    </row>
    <row r="36" spans="2:12" x14ac:dyDescent="0.25">
      <c r="B36" s="889"/>
      <c r="C36" s="890"/>
      <c r="D36" s="890"/>
      <c r="E36" s="890"/>
      <c r="F36" s="890"/>
      <c r="G36" s="891"/>
      <c r="H36" s="889"/>
      <c r="I36" s="890"/>
      <c r="J36" s="890"/>
      <c r="K36" s="890"/>
      <c r="L36" s="891"/>
    </row>
    <row r="37" spans="2:12" x14ac:dyDescent="0.25">
      <c r="B37" s="889"/>
      <c r="C37" s="890"/>
      <c r="D37" s="890"/>
      <c r="E37" s="890"/>
      <c r="F37" s="890"/>
      <c r="G37" s="891"/>
      <c r="H37" s="889"/>
      <c r="I37" s="890"/>
      <c r="J37" s="890"/>
      <c r="K37" s="890"/>
      <c r="L37" s="891"/>
    </row>
    <row r="38" spans="2:12" x14ac:dyDescent="0.25">
      <c r="B38" s="889"/>
      <c r="C38" s="890"/>
      <c r="D38" s="890"/>
      <c r="E38" s="890"/>
      <c r="F38" s="890"/>
      <c r="G38" s="891"/>
      <c r="H38" s="889"/>
      <c r="I38" s="890"/>
      <c r="J38" s="890"/>
      <c r="K38" s="890"/>
      <c r="L38" s="891"/>
    </row>
    <row r="39" spans="2:12" ht="15" customHeight="1" x14ac:dyDescent="0.25">
      <c r="B39" s="892" t="s">
        <v>1336</v>
      </c>
      <c r="C39" s="893"/>
      <c r="D39" s="893"/>
      <c r="E39" s="893"/>
      <c r="F39" s="893"/>
      <c r="G39" s="894"/>
      <c r="H39" s="898" t="s">
        <v>1337</v>
      </c>
      <c r="I39" s="899"/>
      <c r="J39" s="899"/>
      <c r="K39" s="899"/>
      <c r="L39" s="900"/>
    </row>
    <row r="40" spans="2:12" ht="36" customHeight="1" thickBot="1" x14ac:dyDescent="0.3">
      <c r="B40" s="895"/>
      <c r="C40" s="896"/>
      <c r="D40" s="896"/>
      <c r="E40" s="896"/>
      <c r="F40" s="896"/>
      <c r="G40" s="897"/>
      <c r="H40" s="901"/>
      <c r="I40" s="902"/>
      <c r="J40" s="902"/>
      <c r="K40" s="902"/>
      <c r="L40" s="903"/>
    </row>
    <row r="41" spans="2:12" x14ac:dyDescent="0.25">
      <c r="B41" s="904" t="s">
        <v>452</v>
      </c>
      <c r="C41" s="905"/>
      <c r="D41" s="905"/>
      <c r="E41" s="905"/>
      <c r="F41" s="905"/>
      <c r="G41" s="906"/>
      <c r="H41" s="904" t="s">
        <v>453</v>
      </c>
      <c r="I41" s="905"/>
      <c r="J41" s="905"/>
      <c r="K41" s="905"/>
      <c r="L41" s="906"/>
    </row>
    <row r="42" spans="2:12" x14ac:dyDescent="0.25">
      <c r="B42" s="889"/>
      <c r="C42" s="890"/>
      <c r="D42" s="890"/>
      <c r="E42" s="890"/>
      <c r="F42" s="890"/>
      <c r="G42" s="891"/>
      <c r="H42" s="889"/>
      <c r="I42" s="890"/>
      <c r="J42" s="890"/>
      <c r="K42" s="890"/>
      <c r="L42" s="891"/>
    </row>
    <row r="43" spans="2:12" x14ac:dyDescent="0.25">
      <c r="B43" s="889"/>
      <c r="C43" s="890"/>
      <c r="D43" s="890"/>
      <c r="E43" s="890"/>
      <c r="F43" s="890"/>
      <c r="G43" s="891"/>
      <c r="H43" s="889"/>
      <c r="I43" s="890"/>
      <c r="J43" s="890"/>
      <c r="K43" s="890"/>
      <c r="L43" s="891"/>
    </row>
    <row r="44" spans="2:12" x14ac:dyDescent="0.25">
      <c r="B44" s="889"/>
      <c r="C44" s="890"/>
      <c r="D44" s="890"/>
      <c r="E44" s="890"/>
      <c r="F44" s="890"/>
      <c r="G44" s="891"/>
      <c r="H44" s="889"/>
      <c r="I44" s="890"/>
      <c r="J44" s="890"/>
      <c r="K44" s="890"/>
      <c r="L44" s="891"/>
    </row>
    <row r="45" spans="2:12" x14ac:dyDescent="0.25">
      <c r="B45" s="889"/>
      <c r="C45" s="890"/>
      <c r="D45" s="890"/>
      <c r="E45" s="890"/>
      <c r="F45" s="890"/>
      <c r="G45" s="891"/>
      <c r="H45" s="889"/>
      <c r="I45" s="890"/>
      <c r="J45" s="890"/>
      <c r="K45" s="890"/>
      <c r="L45" s="891"/>
    </row>
    <row r="46" spans="2:12" x14ac:dyDescent="0.25">
      <c r="B46" s="889"/>
      <c r="C46" s="890"/>
      <c r="D46" s="890"/>
      <c r="E46" s="890"/>
      <c r="F46" s="890"/>
      <c r="G46" s="891"/>
      <c r="H46" s="889"/>
      <c r="I46" s="890"/>
      <c r="J46" s="890"/>
      <c r="K46" s="890"/>
      <c r="L46" s="891"/>
    </row>
    <row r="47" spans="2:12" x14ac:dyDescent="0.25">
      <c r="B47" s="889"/>
      <c r="C47" s="890"/>
      <c r="D47" s="890"/>
      <c r="E47" s="890"/>
      <c r="F47" s="890"/>
      <c r="G47" s="891"/>
      <c r="H47" s="889"/>
      <c r="I47" s="890"/>
      <c r="J47" s="890"/>
      <c r="K47" s="890"/>
      <c r="L47" s="891"/>
    </row>
    <row r="48" spans="2:12" x14ac:dyDescent="0.25">
      <c r="B48" s="889"/>
      <c r="C48" s="890"/>
      <c r="D48" s="890"/>
      <c r="E48" s="890"/>
      <c r="F48" s="890"/>
      <c r="G48" s="891"/>
      <c r="H48" s="889"/>
      <c r="I48" s="890"/>
      <c r="J48" s="890"/>
      <c r="K48" s="890"/>
      <c r="L48" s="891"/>
    </row>
    <row r="49" spans="2:12" x14ac:dyDescent="0.25">
      <c r="B49" s="889"/>
      <c r="C49" s="890"/>
      <c r="D49" s="890"/>
      <c r="E49" s="890"/>
      <c r="F49" s="890"/>
      <c r="G49" s="891"/>
      <c r="H49" s="889"/>
      <c r="I49" s="890"/>
      <c r="J49" s="890"/>
      <c r="K49" s="890"/>
      <c r="L49" s="891"/>
    </row>
    <row r="50" spans="2:12" x14ac:dyDescent="0.25">
      <c r="B50" s="889"/>
      <c r="C50" s="890"/>
      <c r="D50" s="890"/>
      <c r="E50" s="890"/>
      <c r="F50" s="890"/>
      <c r="G50" s="891"/>
      <c r="H50" s="889"/>
      <c r="I50" s="890"/>
      <c r="J50" s="890"/>
      <c r="K50" s="890"/>
      <c r="L50" s="891"/>
    </row>
    <row r="51" spans="2:12" x14ac:dyDescent="0.25">
      <c r="B51" s="889"/>
      <c r="C51" s="890"/>
      <c r="D51" s="890"/>
      <c r="E51" s="890"/>
      <c r="F51" s="890"/>
      <c r="G51" s="891"/>
      <c r="H51" s="889"/>
      <c r="I51" s="890"/>
      <c r="J51" s="890"/>
      <c r="K51" s="890"/>
      <c r="L51" s="891"/>
    </row>
    <row r="52" spans="2:12" x14ac:dyDescent="0.25">
      <c r="B52" s="889"/>
      <c r="C52" s="890"/>
      <c r="D52" s="890"/>
      <c r="E52" s="890"/>
      <c r="F52" s="890"/>
      <c r="G52" s="891"/>
      <c r="H52" s="889"/>
      <c r="I52" s="890"/>
      <c r="J52" s="890"/>
      <c r="K52" s="890"/>
      <c r="L52" s="891"/>
    </row>
    <row r="53" spans="2:12" x14ac:dyDescent="0.25">
      <c r="B53" s="889"/>
      <c r="C53" s="890"/>
      <c r="D53" s="890"/>
      <c r="E53" s="890"/>
      <c r="F53" s="890"/>
      <c r="G53" s="891"/>
      <c r="H53" s="889"/>
      <c r="I53" s="890"/>
      <c r="J53" s="890"/>
      <c r="K53" s="890"/>
      <c r="L53" s="891"/>
    </row>
    <row r="54" spans="2:12" x14ac:dyDescent="0.25">
      <c r="B54" s="889"/>
      <c r="C54" s="890"/>
      <c r="D54" s="890"/>
      <c r="E54" s="890"/>
      <c r="F54" s="890"/>
      <c r="G54" s="891"/>
      <c r="H54" s="889"/>
      <c r="I54" s="890"/>
      <c r="J54" s="890"/>
      <c r="K54" s="890"/>
      <c r="L54" s="891"/>
    </row>
    <row r="55" spans="2:12" x14ac:dyDescent="0.25">
      <c r="B55" s="892" t="s">
        <v>1338</v>
      </c>
      <c r="C55" s="893"/>
      <c r="D55" s="893"/>
      <c r="E55" s="893"/>
      <c r="F55" s="893"/>
      <c r="G55" s="894"/>
      <c r="H55" s="898" t="s">
        <v>1339</v>
      </c>
      <c r="I55" s="899"/>
      <c r="J55" s="899"/>
      <c r="K55" s="899"/>
      <c r="L55" s="900"/>
    </row>
    <row r="56" spans="2:12" ht="15.75" thickBot="1" x14ac:dyDescent="0.3">
      <c r="B56" s="895"/>
      <c r="C56" s="896"/>
      <c r="D56" s="896"/>
      <c r="E56" s="896"/>
      <c r="F56" s="896"/>
      <c r="G56" s="897"/>
      <c r="H56" s="901"/>
      <c r="I56" s="902"/>
      <c r="J56" s="902"/>
      <c r="K56" s="902"/>
      <c r="L56" s="903"/>
    </row>
    <row r="57" spans="2:12" x14ac:dyDescent="0.25">
      <c r="B57" s="904" t="s">
        <v>452</v>
      </c>
      <c r="C57" s="905"/>
      <c r="D57" s="905"/>
      <c r="E57" s="905"/>
      <c r="F57" s="905"/>
      <c r="G57" s="906"/>
      <c r="H57" s="904" t="s">
        <v>453</v>
      </c>
      <c r="I57" s="905"/>
      <c r="J57" s="905"/>
      <c r="K57" s="905"/>
      <c r="L57" s="906"/>
    </row>
    <row r="58" spans="2:12" x14ac:dyDescent="0.25">
      <c r="B58" s="889"/>
      <c r="C58" s="890"/>
      <c r="D58" s="890"/>
      <c r="E58" s="890"/>
      <c r="F58" s="890"/>
      <c r="G58" s="891"/>
      <c r="H58" s="889"/>
      <c r="I58" s="890"/>
      <c r="J58" s="890"/>
      <c r="K58" s="890"/>
      <c r="L58" s="891"/>
    </row>
    <row r="59" spans="2:12" x14ac:dyDescent="0.25">
      <c r="B59" s="889"/>
      <c r="C59" s="890"/>
      <c r="D59" s="890"/>
      <c r="E59" s="890"/>
      <c r="F59" s="890"/>
      <c r="G59" s="891"/>
      <c r="H59" s="889"/>
      <c r="I59" s="890"/>
      <c r="J59" s="890"/>
      <c r="K59" s="890"/>
      <c r="L59" s="891"/>
    </row>
    <row r="60" spans="2:12" x14ac:dyDescent="0.25">
      <c r="B60" s="889"/>
      <c r="C60" s="890"/>
      <c r="D60" s="890"/>
      <c r="E60" s="890"/>
      <c r="F60" s="890"/>
      <c r="G60" s="891"/>
      <c r="H60" s="889"/>
      <c r="I60" s="890"/>
      <c r="J60" s="890"/>
      <c r="K60" s="890"/>
      <c r="L60" s="891"/>
    </row>
    <row r="61" spans="2:12" x14ac:dyDescent="0.25">
      <c r="B61" s="889"/>
      <c r="C61" s="890"/>
      <c r="D61" s="890"/>
      <c r="E61" s="890"/>
      <c r="F61" s="890"/>
      <c r="G61" s="891"/>
      <c r="H61" s="889"/>
      <c r="I61" s="890"/>
      <c r="J61" s="890"/>
      <c r="K61" s="890"/>
      <c r="L61" s="891"/>
    </row>
    <row r="62" spans="2:12" x14ac:dyDescent="0.25">
      <c r="B62" s="889"/>
      <c r="C62" s="890"/>
      <c r="D62" s="890"/>
      <c r="E62" s="890"/>
      <c r="F62" s="890"/>
      <c r="G62" s="891"/>
      <c r="H62" s="889"/>
      <c r="I62" s="890"/>
      <c r="J62" s="890"/>
      <c r="K62" s="890"/>
      <c r="L62" s="891"/>
    </row>
    <row r="63" spans="2:12" x14ac:dyDescent="0.25">
      <c r="B63" s="889"/>
      <c r="C63" s="890"/>
      <c r="D63" s="890"/>
      <c r="E63" s="890"/>
      <c r="F63" s="890"/>
      <c r="G63" s="891"/>
      <c r="H63" s="889"/>
      <c r="I63" s="890"/>
      <c r="J63" s="890"/>
      <c r="K63" s="890"/>
      <c r="L63" s="891"/>
    </row>
    <row r="64" spans="2:12" x14ac:dyDescent="0.25">
      <c r="B64" s="889"/>
      <c r="C64" s="890"/>
      <c r="D64" s="890"/>
      <c r="E64" s="890"/>
      <c r="F64" s="890"/>
      <c r="G64" s="891"/>
      <c r="H64" s="889"/>
      <c r="I64" s="890"/>
      <c r="J64" s="890"/>
      <c r="K64" s="890"/>
      <c r="L64" s="891"/>
    </row>
    <row r="65" spans="2:12" x14ac:dyDescent="0.25">
      <c r="B65" s="889"/>
      <c r="C65" s="890"/>
      <c r="D65" s="890"/>
      <c r="E65" s="890"/>
      <c r="F65" s="890"/>
      <c r="G65" s="891"/>
      <c r="H65" s="889"/>
      <c r="I65" s="890"/>
      <c r="J65" s="890"/>
      <c r="K65" s="890"/>
      <c r="L65" s="891"/>
    </row>
    <row r="66" spans="2:12" x14ac:dyDescent="0.25">
      <c r="B66" s="889"/>
      <c r="C66" s="890"/>
      <c r="D66" s="890"/>
      <c r="E66" s="890"/>
      <c r="F66" s="890"/>
      <c r="G66" s="891"/>
      <c r="H66" s="889"/>
      <c r="I66" s="890"/>
      <c r="J66" s="890"/>
      <c r="K66" s="890"/>
      <c r="L66" s="891"/>
    </row>
    <row r="67" spans="2:12" x14ac:dyDescent="0.25">
      <c r="B67" s="889"/>
      <c r="C67" s="890"/>
      <c r="D67" s="890"/>
      <c r="E67" s="890"/>
      <c r="F67" s="890"/>
      <c r="G67" s="891"/>
      <c r="H67" s="889"/>
      <c r="I67" s="890"/>
      <c r="J67" s="890"/>
      <c r="K67" s="890"/>
      <c r="L67" s="891"/>
    </row>
    <row r="68" spans="2:12" x14ac:dyDescent="0.25">
      <c r="B68" s="889"/>
      <c r="C68" s="890"/>
      <c r="D68" s="890"/>
      <c r="E68" s="890"/>
      <c r="F68" s="890"/>
      <c r="G68" s="891"/>
      <c r="H68" s="889"/>
      <c r="I68" s="890"/>
      <c r="J68" s="890"/>
      <c r="K68" s="890"/>
      <c r="L68" s="891"/>
    </row>
    <row r="69" spans="2:12" x14ac:dyDescent="0.25">
      <c r="B69" s="889"/>
      <c r="C69" s="890"/>
      <c r="D69" s="890"/>
      <c r="E69" s="890"/>
      <c r="F69" s="890"/>
      <c r="G69" s="891"/>
      <c r="H69" s="889"/>
      <c r="I69" s="890"/>
      <c r="J69" s="890"/>
      <c r="K69" s="890"/>
      <c r="L69" s="891"/>
    </row>
    <row r="70" spans="2:12" x14ac:dyDescent="0.25">
      <c r="B70" s="889"/>
      <c r="C70" s="890"/>
      <c r="D70" s="890"/>
      <c r="E70" s="890"/>
      <c r="F70" s="890"/>
      <c r="G70" s="891"/>
      <c r="H70" s="889"/>
      <c r="I70" s="890"/>
      <c r="J70" s="890"/>
      <c r="K70" s="890"/>
      <c r="L70" s="891"/>
    </row>
    <row r="71" spans="2:12" x14ac:dyDescent="0.25">
      <c r="B71" s="892" t="s">
        <v>1340</v>
      </c>
      <c r="C71" s="893"/>
      <c r="D71" s="893"/>
      <c r="E71" s="893"/>
      <c r="F71" s="893"/>
      <c r="G71" s="894"/>
      <c r="H71" s="898" t="s">
        <v>1341</v>
      </c>
      <c r="I71" s="899"/>
      <c r="J71" s="899"/>
      <c r="K71" s="899"/>
      <c r="L71" s="900"/>
    </row>
    <row r="72" spans="2:12" ht="42.75" customHeight="1" thickBot="1" x14ac:dyDescent="0.3">
      <c r="B72" s="895"/>
      <c r="C72" s="896"/>
      <c r="D72" s="896"/>
      <c r="E72" s="896"/>
      <c r="F72" s="896"/>
      <c r="G72" s="897"/>
      <c r="H72" s="901"/>
      <c r="I72" s="902"/>
      <c r="J72" s="902"/>
      <c r="K72" s="902"/>
      <c r="L72" s="903"/>
    </row>
    <row r="73" spans="2:12" x14ac:dyDescent="0.25">
      <c r="B73" s="904" t="s">
        <v>452</v>
      </c>
      <c r="C73" s="905"/>
      <c r="D73" s="905"/>
      <c r="E73" s="905"/>
      <c r="F73" s="905"/>
      <c r="G73" s="906"/>
      <c r="H73" s="904" t="s">
        <v>453</v>
      </c>
      <c r="I73" s="905"/>
      <c r="J73" s="905"/>
      <c r="K73" s="905"/>
      <c r="L73" s="906"/>
    </row>
    <row r="74" spans="2:12" x14ac:dyDescent="0.25">
      <c r="B74" s="889"/>
      <c r="C74" s="890"/>
      <c r="D74" s="890"/>
      <c r="E74" s="890"/>
      <c r="F74" s="890"/>
      <c r="G74" s="891"/>
      <c r="H74" s="889"/>
      <c r="I74" s="890"/>
      <c r="J74" s="890"/>
      <c r="K74" s="890"/>
      <c r="L74" s="891"/>
    </row>
    <row r="75" spans="2:12" x14ac:dyDescent="0.25">
      <c r="B75" s="889"/>
      <c r="C75" s="890"/>
      <c r="D75" s="890"/>
      <c r="E75" s="890"/>
      <c r="F75" s="890"/>
      <c r="G75" s="891"/>
      <c r="H75" s="889"/>
      <c r="I75" s="890"/>
      <c r="J75" s="890"/>
      <c r="K75" s="890"/>
      <c r="L75" s="891"/>
    </row>
    <row r="76" spans="2:12" x14ac:dyDescent="0.25">
      <c r="B76" s="889"/>
      <c r="C76" s="890"/>
      <c r="D76" s="890"/>
      <c r="E76" s="890"/>
      <c r="F76" s="890"/>
      <c r="G76" s="891"/>
      <c r="H76" s="889"/>
      <c r="I76" s="890"/>
      <c r="J76" s="890"/>
      <c r="K76" s="890"/>
      <c r="L76" s="891"/>
    </row>
    <row r="77" spans="2:12" x14ac:dyDescent="0.25">
      <c r="B77" s="889"/>
      <c r="C77" s="890"/>
      <c r="D77" s="890"/>
      <c r="E77" s="890"/>
      <c r="F77" s="890"/>
      <c r="G77" s="891"/>
      <c r="H77" s="889"/>
      <c r="I77" s="890"/>
      <c r="J77" s="890"/>
      <c r="K77" s="890"/>
      <c r="L77" s="891"/>
    </row>
    <row r="78" spans="2:12" x14ac:dyDescent="0.25">
      <c r="B78" s="889"/>
      <c r="C78" s="890"/>
      <c r="D78" s="890"/>
      <c r="E78" s="890"/>
      <c r="F78" s="890"/>
      <c r="G78" s="891"/>
      <c r="H78" s="889"/>
      <c r="I78" s="890"/>
      <c r="J78" s="890"/>
      <c r="K78" s="890"/>
      <c r="L78" s="891"/>
    </row>
    <row r="79" spans="2:12" x14ac:dyDescent="0.25">
      <c r="B79" s="889"/>
      <c r="C79" s="890"/>
      <c r="D79" s="890"/>
      <c r="E79" s="890"/>
      <c r="F79" s="890"/>
      <c r="G79" s="891"/>
      <c r="H79" s="889"/>
      <c r="I79" s="890"/>
      <c r="J79" s="890"/>
      <c r="K79" s="890"/>
      <c r="L79" s="891"/>
    </row>
    <row r="80" spans="2:12" x14ac:dyDescent="0.25">
      <c r="B80" s="889"/>
      <c r="C80" s="890"/>
      <c r="D80" s="890"/>
      <c r="E80" s="890"/>
      <c r="F80" s="890"/>
      <c r="G80" s="891"/>
      <c r="H80" s="889"/>
      <c r="I80" s="890"/>
      <c r="J80" s="890"/>
      <c r="K80" s="890"/>
      <c r="L80" s="891"/>
    </row>
    <row r="81" spans="2:12" x14ac:dyDescent="0.25">
      <c r="B81" s="889"/>
      <c r="C81" s="890"/>
      <c r="D81" s="890"/>
      <c r="E81" s="890"/>
      <c r="F81" s="890"/>
      <c r="G81" s="891"/>
      <c r="H81" s="889"/>
      <c r="I81" s="890"/>
      <c r="J81" s="890"/>
      <c r="K81" s="890"/>
      <c r="L81" s="891"/>
    </row>
    <row r="82" spans="2:12" x14ac:dyDescent="0.25">
      <c r="B82" s="889"/>
      <c r="C82" s="890"/>
      <c r="D82" s="890"/>
      <c r="E82" s="890"/>
      <c r="F82" s="890"/>
      <c r="G82" s="891"/>
      <c r="H82" s="889"/>
      <c r="I82" s="890"/>
      <c r="J82" s="890"/>
      <c r="K82" s="890"/>
      <c r="L82" s="891"/>
    </row>
    <row r="83" spans="2:12" x14ac:dyDescent="0.25">
      <c r="B83" s="889"/>
      <c r="C83" s="890"/>
      <c r="D83" s="890"/>
      <c r="E83" s="890"/>
      <c r="F83" s="890"/>
      <c r="G83" s="891"/>
      <c r="H83" s="889"/>
      <c r="I83" s="890"/>
      <c r="J83" s="890"/>
      <c r="K83" s="890"/>
      <c r="L83" s="891"/>
    </row>
    <row r="84" spans="2:12" x14ac:dyDescent="0.25">
      <c r="B84" s="889"/>
      <c r="C84" s="890"/>
      <c r="D84" s="890"/>
      <c r="E84" s="890"/>
      <c r="F84" s="890"/>
      <c r="G84" s="891"/>
      <c r="H84" s="889"/>
      <c r="I84" s="890"/>
      <c r="J84" s="890"/>
      <c r="K84" s="890"/>
      <c r="L84" s="891"/>
    </row>
    <row r="85" spans="2:12" x14ac:dyDescent="0.25">
      <c r="B85" s="889"/>
      <c r="C85" s="890"/>
      <c r="D85" s="890"/>
      <c r="E85" s="890"/>
      <c r="F85" s="890"/>
      <c r="G85" s="891"/>
      <c r="H85" s="889"/>
      <c r="I85" s="890"/>
      <c r="J85" s="890"/>
      <c r="K85" s="890"/>
      <c r="L85" s="891"/>
    </row>
    <row r="86" spans="2:12" x14ac:dyDescent="0.25">
      <c r="B86" s="889"/>
      <c r="C86" s="890"/>
      <c r="D86" s="890"/>
      <c r="E86" s="890"/>
      <c r="F86" s="890"/>
      <c r="G86" s="891"/>
      <c r="H86" s="889"/>
      <c r="I86" s="890"/>
      <c r="J86" s="890"/>
      <c r="K86" s="890"/>
      <c r="L86" s="891"/>
    </row>
    <row r="87" spans="2:12" x14ac:dyDescent="0.25">
      <c r="B87" s="892" t="s">
        <v>1342</v>
      </c>
      <c r="C87" s="893"/>
      <c r="D87" s="893"/>
      <c r="E87" s="893"/>
      <c r="F87" s="893"/>
      <c r="G87" s="894"/>
      <c r="H87" s="898" t="s">
        <v>1343</v>
      </c>
      <c r="I87" s="899"/>
      <c r="J87" s="899"/>
      <c r="K87" s="899"/>
      <c r="L87" s="900"/>
    </row>
    <row r="88" spans="2:12" ht="42" customHeight="1" thickBot="1" x14ac:dyDescent="0.3">
      <c r="B88" s="895"/>
      <c r="C88" s="896"/>
      <c r="D88" s="896"/>
      <c r="E88" s="896"/>
      <c r="F88" s="896"/>
      <c r="G88" s="897"/>
      <c r="H88" s="901"/>
      <c r="I88" s="902"/>
      <c r="J88" s="902"/>
      <c r="K88" s="902"/>
      <c r="L88" s="903"/>
    </row>
  </sheetData>
  <mergeCells count="36">
    <mergeCell ref="B87:G88"/>
    <mergeCell ref="H87:L88"/>
    <mergeCell ref="B57:G70"/>
    <mergeCell ref="H57:L70"/>
    <mergeCell ref="B71:G72"/>
    <mergeCell ref="H71:L72"/>
    <mergeCell ref="B73:G86"/>
    <mergeCell ref="H73:L86"/>
    <mergeCell ref="B39:G40"/>
    <mergeCell ref="H39:L40"/>
    <mergeCell ref="B41:G54"/>
    <mergeCell ref="H41:L54"/>
    <mergeCell ref="B55:G56"/>
    <mergeCell ref="H55:L56"/>
    <mergeCell ref="B9:G22"/>
    <mergeCell ref="H9:L22"/>
    <mergeCell ref="B23:G24"/>
    <mergeCell ref="H23:L24"/>
    <mergeCell ref="B25:G38"/>
    <mergeCell ref="H25:L38"/>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dimension ref="A1:L85"/>
  <sheetViews>
    <sheetView showGridLines="0" view="pageBreakPreview" topLeftCell="A10" zoomScale="85" zoomScaleNormal="100" zoomScaleSheetLayoutView="85" workbookViewId="0">
      <selection activeCell="H54" sqref="H54:L67"/>
    </sheetView>
  </sheetViews>
  <sheetFormatPr baseColWidth="10" defaultColWidth="11.42578125" defaultRowHeight="15" x14ac:dyDescent="0.25"/>
  <cols>
    <col min="1" max="1" width="6.85546875" style="129" customWidth="1"/>
    <col min="2" max="5" width="11.42578125" style="129"/>
    <col min="6" max="6" width="13.7109375" style="129" customWidth="1"/>
    <col min="7" max="7" width="6.28515625" style="129" customWidth="1"/>
    <col min="8" max="8" width="11.42578125" style="129"/>
    <col min="9" max="9" width="18.7109375" style="129" customWidth="1"/>
    <col min="10" max="11" width="11.42578125" style="129"/>
    <col min="12" max="12" width="8.140625" style="129" customWidth="1"/>
    <col min="13" max="16384" width="11.42578125" style="129"/>
  </cols>
  <sheetData>
    <row r="1" spans="1:12" s="130" customFormat="1" ht="27.75" customHeight="1" x14ac:dyDescent="0.25">
      <c r="A1" s="275"/>
      <c r="B1" s="874" t="s">
        <v>251</v>
      </c>
      <c r="C1" s="874"/>
      <c r="D1" s="874"/>
      <c r="E1" s="874"/>
      <c r="F1" s="874"/>
      <c r="G1" s="874"/>
      <c r="H1" s="874"/>
      <c r="I1" s="874"/>
      <c r="J1" s="874"/>
      <c r="K1" s="874"/>
      <c r="L1" s="929"/>
    </row>
    <row r="2" spans="1:12" s="130" customFormat="1" ht="11.25" customHeight="1" x14ac:dyDescent="0.25">
      <c r="A2" s="276"/>
      <c r="B2" s="930"/>
      <c r="C2" s="875"/>
      <c r="D2" s="875"/>
      <c r="E2" s="875"/>
      <c r="F2" s="875"/>
      <c r="G2" s="875"/>
      <c r="H2" s="875"/>
      <c r="I2" s="875"/>
      <c r="J2" s="875"/>
      <c r="K2" s="875"/>
      <c r="L2" s="931"/>
    </row>
    <row r="3" spans="1:12" s="130" customFormat="1" ht="24.95" customHeight="1" x14ac:dyDescent="0.25">
      <c r="A3" s="276"/>
      <c r="B3" s="932" t="s">
        <v>289</v>
      </c>
      <c r="C3" s="932"/>
      <c r="D3" s="932"/>
      <c r="E3" s="933"/>
      <c r="F3" s="97">
        <v>44238</v>
      </c>
      <c r="G3" s="934" t="s">
        <v>290</v>
      </c>
      <c r="H3" s="932"/>
      <c r="I3" s="933"/>
      <c r="J3" s="935">
        <v>44244</v>
      </c>
      <c r="K3" s="932"/>
      <c r="L3" s="933"/>
    </row>
    <row r="4" spans="1:12" s="130" customFormat="1" ht="24.95" customHeight="1" x14ac:dyDescent="0.25">
      <c r="A4" s="276"/>
      <c r="B4" s="936" t="s">
        <v>250</v>
      </c>
      <c r="C4" s="936"/>
      <c r="D4" s="936"/>
      <c r="E4" s="936"/>
      <c r="F4" s="936"/>
      <c r="G4" s="936"/>
      <c r="H4" s="937"/>
      <c r="I4" s="273" t="s">
        <v>489</v>
      </c>
      <c r="J4" s="273" t="s">
        <v>2</v>
      </c>
      <c r="K4" s="887" t="s">
        <v>0</v>
      </c>
      <c r="L4" s="940"/>
    </row>
    <row r="5" spans="1:12" s="130" customFormat="1" ht="24.95" customHeight="1" x14ac:dyDescent="0.25">
      <c r="A5" s="276"/>
      <c r="B5" s="938"/>
      <c r="C5" s="938"/>
      <c r="D5" s="938"/>
      <c r="E5" s="938"/>
      <c r="F5" s="938"/>
      <c r="G5" s="938"/>
      <c r="H5" s="939"/>
      <c r="I5" s="274" t="s">
        <v>490</v>
      </c>
      <c r="J5" s="273">
        <v>2</v>
      </c>
      <c r="K5" s="887" t="s">
        <v>291</v>
      </c>
      <c r="L5" s="940"/>
    </row>
    <row r="6" spans="1:12" s="130" customFormat="1" ht="15.75" customHeight="1" x14ac:dyDescent="0.25">
      <c r="A6" s="276"/>
      <c r="B6" s="919" t="s">
        <v>452</v>
      </c>
      <c r="C6" s="890"/>
      <c r="D6" s="890"/>
      <c r="E6" s="890"/>
      <c r="F6" s="890"/>
      <c r="G6" s="891"/>
      <c r="H6" s="889" t="s">
        <v>453</v>
      </c>
      <c r="I6" s="890"/>
      <c r="J6" s="890"/>
      <c r="K6" s="890"/>
      <c r="L6" s="891"/>
    </row>
    <row r="7" spans="1:12" s="130" customFormat="1" x14ac:dyDescent="0.25">
      <c r="A7" s="276"/>
      <c r="B7" s="919"/>
      <c r="C7" s="890"/>
      <c r="D7" s="890"/>
      <c r="E7" s="890"/>
      <c r="F7" s="890"/>
      <c r="G7" s="891"/>
      <c r="H7" s="889"/>
      <c r="I7" s="890"/>
      <c r="J7" s="890"/>
      <c r="K7" s="890"/>
      <c r="L7" s="891"/>
    </row>
    <row r="8" spans="1:12" s="130" customFormat="1" x14ac:dyDescent="0.25">
      <c r="A8" s="276"/>
      <c r="B8" s="919"/>
      <c r="C8" s="890"/>
      <c r="D8" s="890"/>
      <c r="E8" s="890"/>
      <c r="F8" s="890"/>
      <c r="G8" s="891"/>
      <c r="H8" s="889"/>
      <c r="I8" s="890"/>
      <c r="J8" s="890"/>
      <c r="K8" s="890"/>
      <c r="L8" s="891"/>
    </row>
    <row r="9" spans="1:12" s="130" customFormat="1" x14ac:dyDescent="0.25">
      <c r="A9" s="276"/>
      <c r="B9" s="919"/>
      <c r="C9" s="890"/>
      <c r="D9" s="890"/>
      <c r="E9" s="890"/>
      <c r="F9" s="890"/>
      <c r="G9" s="891"/>
      <c r="H9" s="889"/>
      <c r="I9" s="890"/>
      <c r="J9" s="890"/>
      <c r="K9" s="890"/>
      <c r="L9" s="891"/>
    </row>
    <row r="10" spans="1:12" s="130" customFormat="1" x14ac:dyDescent="0.25">
      <c r="A10" s="276"/>
      <c r="B10" s="919"/>
      <c r="C10" s="890"/>
      <c r="D10" s="890"/>
      <c r="E10" s="890"/>
      <c r="F10" s="890"/>
      <c r="G10" s="891"/>
      <c r="H10" s="889"/>
      <c r="I10" s="890"/>
      <c r="J10" s="890"/>
      <c r="K10" s="890"/>
      <c r="L10" s="891"/>
    </row>
    <row r="11" spans="1:12" s="130" customFormat="1" x14ac:dyDescent="0.25">
      <c r="A11" s="276"/>
      <c r="B11" s="919"/>
      <c r="C11" s="890"/>
      <c r="D11" s="890"/>
      <c r="E11" s="890"/>
      <c r="F11" s="890"/>
      <c r="G11" s="891"/>
      <c r="H11" s="889"/>
      <c r="I11" s="890"/>
      <c r="J11" s="890"/>
      <c r="K11" s="890"/>
      <c r="L11" s="891"/>
    </row>
    <row r="12" spans="1:12" s="130" customFormat="1" x14ac:dyDescent="0.25">
      <c r="A12" s="276"/>
      <c r="B12" s="919"/>
      <c r="C12" s="890"/>
      <c r="D12" s="890"/>
      <c r="E12" s="890"/>
      <c r="F12" s="890"/>
      <c r="G12" s="891"/>
      <c r="H12" s="889"/>
      <c r="I12" s="890"/>
      <c r="J12" s="890"/>
      <c r="K12" s="890"/>
      <c r="L12" s="891"/>
    </row>
    <row r="13" spans="1:12" s="130" customFormat="1" x14ac:dyDescent="0.25">
      <c r="A13" s="276"/>
      <c r="B13" s="919"/>
      <c r="C13" s="890"/>
      <c r="D13" s="890"/>
      <c r="E13" s="890"/>
      <c r="F13" s="890"/>
      <c r="G13" s="891"/>
      <c r="H13" s="889"/>
      <c r="I13" s="890"/>
      <c r="J13" s="890"/>
      <c r="K13" s="890"/>
      <c r="L13" s="891"/>
    </row>
    <row r="14" spans="1:12" s="130" customFormat="1" x14ac:dyDescent="0.25">
      <c r="A14" s="276"/>
      <c r="B14" s="919"/>
      <c r="C14" s="890"/>
      <c r="D14" s="890"/>
      <c r="E14" s="890"/>
      <c r="F14" s="890"/>
      <c r="G14" s="891"/>
      <c r="H14" s="889"/>
      <c r="I14" s="890"/>
      <c r="J14" s="890"/>
      <c r="K14" s="890"/>
      <c r="L14" s="891"/>
    </row>
    <row r="15" spans="1:12" s="130" customFormat="1" x14ac:dyDescent="0.25">
      <c r="A15" s="276"/>
      <c r="B15" s="919"/>
      <c r="C15" s="890"/>
      <c r="D15" s="890"/>
      <c r="E15" s="890"/>
      <c r="F15" s="890"/>
      <c r="G15" s="891"/>
      <c r="H15" s="889"/>
      <c r="I15" s="890"/>
      <c r="J15" s="890"/>
      <c r="K15" s="890"/>
      <c r="L15" s="891"/>
    </row>
    <row r="16" spans="1:12" s="130" customFormat="1" x14ac:dyDescent="0.25">
      <c r="A16" s="276"/>
      <c r="B16" s="919"/>
      <c r="C16" s="890"/>
      <c r="D16" s="890"/>
      <c r="E16" s="890"/>
      <c r="F16" s="890"/>
      <c r="G16" s="891"/>
      <c r="H16" s="889"/>
      <c r="I16" s="890"/>
      <c r="J16" s="890"/>
      <c r="K16" s="890"/>
      <c r="L16" s="891"/>
    </row>
    <row r="17" spans="1:12" s="130" customFormat="1" x14ac:dyDescent="0.25">
      <c r="A17" s="276"/>
      <c r="B17" s="919"/>
      <c r="C17" s="890"/>
      <c r="D17" s="890"/>
      <c r="E17" s="890"/>
      <c r="F17" s="890"/>
      <c r="G17" s="891"/>
      <c r="H17" s="889"/>
      <c r="I17" s="890"/>
      <c r="J17" s="890"/>
      <c r="K17" s="890"/>
      <c r="L17" s="891"/>
    </row>
    <row r="18" spans="1:12" s="130" customFormat="1" x14ac:dyDescent="0.25">
      <c r="A18" s="276"/>
      <c r="B18" s="919"/>
      <c r="C18" s="890"/>
      <c r="D18" s="890"/>
      <c r="E18" s="890"/>
      <c r="F18" s="890"/>
      <c r="G18" s="891"/>
      <c r="H18" s="889"/>
      <c r="I18" s="890"/>
      <c r="J18" s="890"/>
      <c r="K18" s="890"/>
      <c r="L18" s="891"/>
    </row>
    <row r="19" spans="1:12" s="130" customFormat="1" ht="15.75" thickBot="1" x14ac:dyDescent="0.3">
      <c r="A19" s="276"/>
      <c r="B19" s="919"/>
      <c r="C19" s="890"/>
      <c r="D19" s="890"/>
      <c r="E19" s="890"/>
      <c r="F19" s="890"/>
      <c r="G19" s="891"/>
      <c r="H19" s="889"/>
      <c r="I19" s="890"/>
      <c r="J19" s="890"/>
      <c r="K19" s="890"/>
      <c r="L19" s="891"/>
    </row>
    <row r="20" spans="1:12" s="130" customFormat="1" ht="15" customHeight="1" x14ac:dyDescent="0.25">
      <c r="A20" s="276"/>
      <c r="B20" s="941" t="s">
        <v>1320</v>
      </c>
      <c r="C20" s="942"/>
      <c r="D20" s="942"/>
      <c r="E20" s="942"/>
      <c r="F20" s="942"/>
      <c r="G20" s="943"/>
      <c r="H20" s="923" t="s">
        <v>1321</v>
      </c>
      <c r="I20" s="914"/>
      <c r="J20" s="914"/>
      <c r="K20" s="914"/>
      <c r="L20" s="915"/>
    </row>
    <row r="21" spans="1:12" s="130" customFormat="1" ht="30.75" customHeight="1" thickBot="1" x14ac:dyDescent="0.3">
      <c r="A21" s="276"/>
      <c r="B21" s="944"/>
      <c r="C21" s="945"/>
      <c r="D21" s="945"/>
      <c r="E21" s="945"/>
      <c r="F21" s="945"/>
      <c r="G21" s="946"/>
      <c r="H21" s="916"/>
      <c r="I21" s="917"/>
      <c r="J21" s="917"/>
      <c r="K21" s="917"/>
      <c r="L21" s="918"/>
    </row>
    <row r="22" spans="1:12" s="130" customFormat="1" ht="15.75" customHeight="1" x14ac:dyDescent="0.25">
      <c r="A22" s="276"/>
      <c r="B22" s="905" t="s">
        <v>501</v>
      </c>
      <c r="C22" s="905"/>
      <c r="D22" s="905"/>
      <c r="E22" s="905"/>
      <c r="F22" s="905"/>
      <c r="G22" s="906"/>
      <c r="H22" s="904" t="s">
        <v>502</v>
      </c>
      <c r="I22" s="905"/>
      <c r="J22" s="905"/>
      <c r="K22" s="905"/>
      <c r="L22" s="906"/>
    </row>
    <row r="23" spans="1:12" s="130" customFormat="1" x14ac:dyDescent="0.25">
      <c r="A23" s="276"/>
      <c r="B23" s="919"/>
      <c r="C23" s="890"/>
      <c r="D23" s="890"/>
      <c r="E23" s="890"/>
      <c r="F23" s="890"/>
      <c r="G23" s="891"/>
      <c r="H23" s="889"/>
      <c r="I23" s="890"/>
      <c r="J23" s="890"/>
      <c r="K23" s="890"/>
      <c r="L23" s="891"/>
    </row>
    <row r="24" spans="1:12" s="130" customFormat="1" x14ac:dyDescent="0.25">
      <c r="A24" s="276"/>
      <c r="B24" s="919"/>
      <c r="C24" s="890"/>
      <c r="D24" s="890"/>
      <c r="E24" s="890"/>
      <c r="F24" s="890"/>
      <c r="G24" s="891"/>
      <c r="H24" s="889"/>
      <c r="I24" s="890"/>
      <c r="J24" s="890"/>
      <c r="K24" s="890"/>
      <c r="L24" s="891"/>
    </row>
    <row r="25" spans="1:12" s="130" customFormat="1" x14ac:dyDescent="0.25">
      <c r="A25" s="276"/>
      <c r="B25" s="919"/>
      <c r="C25" s="890"/>
      <c r="D25" s="890"/>
      <c r="E25" s="890"/>
      <c r="F25" s="890"/>
      <c r="G25" s="891"/>
      <c r="H25" s="889"/>
      <c r="I25" s="890"/>
      <c r="J25" s="890"/>
      <c r="K25" s="890"/>
      <c r="L25" s="891"/>
    </row>
    <row r="26" spans="1:12" s="130" customFormat="1" x14ac:dyDescent="0.25">
      <c r="A26" s="276"/>
      <c r="B26" s="919"/>
      <c r="C26" s="890"/>
      <c r="D26" s="890"/>
      <c r="E26" s="890"/>
      <c r="F26" s="890"/>
      <c r="G26" s="891"/>
      <c r="H26" s="889"/>
      <c r="I26" s="890"/>
      <c r="J26" s="890"/>
      <c r="K26" s="890"/>
      <c r="L26" s="891"/>
    </row>
    <row r="27" spans="1:12" s="130" customFormat="1" x14ac:dyDescent="0.25">
      <c r="A27" s="276"/>
      <c r="B27" s="919"/>
      <c r="C27" s="890"/>
      <c r="D27" s="890"/>
      <c r="E27" s="890"/>
      <c r="F27" s="890"/>
      <c r="G27" s="891"/>
      <c r="H27" s="889"/>
      <c r="I27" s="890"/>
      <c r="J27" s="890"/>
      <c r="K27" s="890"/>
      <c r="L27" s="891"/>
    </row>
    <row r="28" spans="1:12" s="130" customFormat="1" x14ac:dyDescent="0.25">
      <c r="A28" s="276"/>
      <c r="B28" s="919"/>
      <c r="C28" s="890"/>
      <c r="D28" s="890"/>
      <c r="E28" s="890"/>
      <c r="F28" s="890"/>
      <c r="G28" s="891"/>
      <c r="H28" s="889"/>
      <c r="I28" s="890"/>
      <c r="J28" s="890"/>
      <c r="K28" s="890"/>
      <c r="L28" s="891"/>
    </row>
    <row r="29" spans="1:12" s="130" customFormat="1" x14ac:dyDescent="0.25">
      <c r="A29" s="276"/>
      <c r="B29" s="919"/>
      <c r="C29" s="890"/>
      <c r="D29" s="890"/>
      <c r="E29" s="890"/>
      <c r="F29" s="890"/>
      <c r="G29" s="891"/>
      <c r="H29" s="889"/>
      <c r="I29" s="890"/>
      <c r="J29" s="890"/>
      <c r="K29" s="890"/>
      <c r="L29" s="891"/>
    </row>
    <row r="30" spans="1:12" s="130" customFormat="1" x14ac:dyDescent="0.25">
      <c r="A30" s="276"/>
      <c r="B30" s="919"/>
      <c r="C30" s="890"/>
      <c r="D30" s="890"/>
      <c r="E30" s="890"/>
      <c r="F30" s="890"/>
      <c r="G30" s="891"/>
      <c r="H30" s="889"/>
      <c r="I30" s="890"/>
      <c r="J30" s="890"/>
      <c r="K30" s="890"/>
      <c r="L30" s="891"/>
    </row>
    <row r="31" spans="1:12" s="130" customFormat="1" x14ac:dyDescent="0.25">
      <c r="A31" s="276"/>
      <c r="B31" s="919"/>
      <c r="C31" s="890"/>
      <c r="D31" s="890"/>
      <c r="E31" s="890"/>
      <c r="F31" s="890"/>
      <c r="G31" s="891"/>
      <c r="H31" s="889"/>
      <c r="I31" s="890"/>
      <c r="J31" s="890"/>
      <c r="K31" s="890"/>
      <c r="L31" s="891"/>
    </row>
    <row r="32" spans="1:12" s="130" customFormat="1" x14ac:dyDescent="0.25">
      <c r="A32" s="276"/>
      <c r="B32" s="919"/>
      <c r="C32" s="890"/>
      <c r="D32" s="890"/>
      <c r="E32" s="890"/>
      <c r="F32" s="890"/>
      <c r="G32" s="891"/>
      <c r="H32" s="889"/>
      <c r="I32" s="890"/>
      <c r="J32" s="890"/>
      <c r="K32" s="890"/>
      <c r="L32" s="891"/>
    </row>
    <row r="33" spans="1:12" s="130" customFormat="1" x14ac:dyDescent="0.25">
      <c r="A33" s="276"/>
      <c r="B33" s="919"/>
      <c r="C33" s="890"/>
      <c r="D33" s="890"/>
      <c r="E33" s="890"/>
      <c r="F33" s="890"/>
      <c r="G33" s="891"/>
      <c r="H33" s="889"/>
      <c r="I33" s="890"/>
      <c r="J33" s="890"/>
      <c r="K33" s="890"/>
      <c r="L33" s="891"/>
    </row>
    <row r="34" spans="1:12" s="130" customFormat="1" x14ac:dyDescent="0.25">
      <c r="A34" s="276"/>
      <c r="B34" s="919"/>
      <c r="C34" s="890"/>
      <c r="D34" s="890"/>
      <c r="E34" s="890"/>
      <c r="F34" s="890"/>
      <c r="G34" s="891"/>
      <c r="H34" s="889"/>
      <c r="I34" s="890"/>
      <c r="J34" s="890"/>
      <c r="K34" s="890"/>
      <c r="L34" s="891"/>
    </row>
    <row r="35" spans="1:12" s="130" customFormat="1" ht="15.75" thickBot="1" x14ac:dyDescent="0.3">
      <c r="A35" s="276"/>
      <c r="B35" s="919"/>
      <c r="C35" s="890"/>
      <c r="D35" s="890"/>
      <c r="E35" s="890"/>
      <c r="F35" s="890"/>
      <c r="G35" s="891"/>
      <c r="H35" s="889"/>
      <c r="I35" s="890"/>
      <c r="J35" s="890"/>
      <c r="K35" s="890"/>
      <c r="L35" s="891"/>
    </row>
    <row r="36" spans="1:12" s="130" customFormat="1" ht="14.45" customHeight="1" x14ac:dyDescent="0.25">
      <c r="A36" s="276"/>
      <c r="B36" s="908" t="s">
        <v>1322</v>
      </c>
      <c r="C36" s="908"/>
      <c r="D36" s="908"/>
      <c r="E36" s="908"/>
      <c r="F36" s="908"/>
      <c r="G36" s="909"/>
      <c r="H36" s="923" t="s">
        <v>1323</v>
      </c>
      <c r="I36" s="924"/>
      <c r="J36" s="924"/>
      <c r="K36" s="924"/>
      <c r="L36" s="925"/>
    </row>
    <row r="37" spans="1:12" s="130" customFormat="1" ht="32.25" customHeight="1" thickBot="1" x14ac:dyDescent="0.3">
      <c r="A37" s="276"/>
      <c r="B37" s="911"/>
      <c r="C37" s="911"/>
      <c r="D37" s="911"/>
      <c r="E37" s="911"/>
      <c r="F37" s="911"/>
      <c r="G37" s="912"/>
      <c r="H37" s="926"/>
      <c r="I37" s="927"/>
      <c r="J37" s="927"/>
      <c r="K37" s="927"/>
      <c r="L37" s="928"/>
    </row>
    <row r="38" spans="1:12" s="130" customFormat="1" x14ac:dyDescent="0.25">
      <c r="A38" s="276"/>
      <c r="B38" s="905" t="s">
        <v>503</v>
      </c>
      <c r="C38" s="905"/>
      <c r="D38" s="905"/>
      <c r="E38" s="905"/>
      <c r="F38" s="905"/>
      <c r="G38" s="906"/>
      <c r="H38" s="904" t="s">
        <v>504</v>
      </c>
      <c r="I38" s="905"/>
      <c r="J38" s="905"/>
      <c r="K38" s="905"/>
      <c r="L38" s="906"/>
    </row>
    <row r="39" spans="1:12" s="130" customFormat="1" x14ac:dyDescent="0.25">
      <c r="A39" s="276"/>
      <c r="B39" s="919"/>
      <c r="C39" s="890"/>
      <c r="D39" s="890"/>
      <c r="E39" s="890"/>
      <c r="F39" s="890"/>
      <c r="G39" s="891"/>
      <c r="H39" s="889"/>
      <c r="I39" s="890"/>
      <c r="J39" s="890"/>
      <c r="K39" s="890"/>
      <c r="L39" s="891"/>
    </row>
    <row r="40" spans="1:12" s="130" customFormat="1" x14ac:dyDescent="0.25">
      <c r="A40" s="276"/>
      <c r="B40" s="919"/>
      <c r="C40" s="890"/>
      <c r="D40" s="890"/>
      <c r="E40" s="890"/>
      <c r="F40" s="890"/>
      <c r="G40" s="891"/>
      <c r="H40" s="889"/>
      <c r="I40" s="890"/>
      <c r="J40" s="890"/>
      <c r="K40" s="890"/>
      <c r="L40" s="891"/>
    </row>
    <row r="41" spans="1:12" s="130" customFormat="1" x14ac:dyDescent="0.25">
      <c r="A41" s="276"/>
      <c r="B41" s="919"/>
      <c r="C41" s="890"/>
      <c r="D41" s="890"/>
      <c r="E41" s="890"/>
      <c r="F41" s="890"/>
      <c r="G41" s="891"/>
      <c r="H41" s="889"/>
      <c r="I41" s="890"/>
      <c r="J41" s="890"/>
      <c r="K41" s="890"/>
      <c r="L41" s="891"/>
    </row>
    <row r="42" spans="1:12" s="130" customFormat="1" x14ac:dyDescent="0.25">
      <c r="A42" s="276"/>
      <c r="B42" s="919"/>
      <c r="C42" s="890"/>
      <c r="D42" s="890"/>
      <c r="E42" s="890"/>
      <c r="F42" s="890"/>
      <c r="G42" s="891"/>
      <c r="H42" s="889"/>
      <c r="I42" s="890"/>
      <c r="J42" s="890"/>
      <c r="K42" s="890"/>
      <c r="L42" s="891"/>
    </row>
    <row r="43" spans="1:12" s="130" customFormat="1" x14ac:dyDescent="0.25">
      <c r="A43" s="276"/>
      <c r="B43" s="919"/>
      <c r="C43" s="890"/>
      <c r="D43" s="890"/>
      <c r="E43" s="890"/>
      <c r="F43" s="890"/>
      <c r="G43" s="891"/>
      <c r="H43" s="889"/>
      <c r="I43" s="890"/>
      <c r="J43" s="890"/>
      <c r="K43" s="890"/>
      <c r="L43" s="891"/>
    </row>
    <row r="44" spans="1:12" s="130" customFormat="1" x14ac:dyDescent="0.25">
      <c r="A44" s="276"/>
      <c r="B44" s="919"/>
      <c r="C44" s="890"/>
      <c r="D44" s="890"/>
      <c r="E44" s="890"/>
      <c r="F44" s="890"/>
      <c r="G44" s="891"/>
      <c r="H44" s="889"/>
      <c r="I44" s="890"/>
      <c r="J44" s="890"/>
      <c r="K44" s="890"/>
      <c r="L44" s="891"/>
    </row>
    <row r="45" spans="1:12" s="130" customFormat="1" x14ac:dyDescent="0.25">
      <c r="A45" s="276"/>
      <c r="B45" s="919"/>
      <c r="C45" s="890"/>
      <c r="D45" s="890"/>
      <c r="E45" s="890"/>
      <c r="F45" s="890"/>
      <c r="G45" s="891"/>
      <c r="H45" s="889"/>
      <c r="I45" s="890"/>
      <c r="J45" s="890"/>
      <c r="K45" s="890"/>
      <c r="L45" s="891"/>
    </row>
    <row r="46" spans="1:12" s="130" customFormat="1" x14ac:dyDescent="0.25">
      <c r="A46" s="276"/>
      <c r="B46" s="919"/>
      <c r="C46" s="890"/>
      <c r="D46" s="890"/>
      <c r="E46" s="890"/>
      <c r="F46" s="890"/>
      <c r="G46" s="891"/>
      <c r="H46" s="889"/>
      <c r="I46" s="890"/>
      <c r="J46" s="890"/>
      <c r="K46" s="890"/>
      <c r="L46" s="891"/>
    </row>
    <row r="47" spans="1:12" s="130" customFormat="1" x14ac:dyDescent="0.25">
      <c r="A47" s="276"/>
      <c r="B47" s="919"/>
      <c r="C47" s="890"/>
      <c r="D47" s="890"/>
      <c r="E47" s="890"/>
      <c r="F47" s="890"/>
      <c r="G47" s="891"/>
      <c r="H47" s="889"/>
      <c r="I47" s="890"/>
      <c r="J47" s="890"/>
      <c r="K47" s="890"/>
      <c r="L47" s="891"/>
    </row>
    <row r="48" spans="1:12" s="130" customFormat="1" x14ac:dyDescent="0.25">
      <c r="A48" s="276"/>
      <c r="B48" s="919"/>
      <c r="C48" s="890"/>
      <c r="D48" s="890"/>
      <c r="E48" s="890"/>
      <c r="F48" s="890"/>
      <c r="G48" s="891"/>
      <c r="H48" s="889"/>
      <c r="I48" s="890"/>
      <c r="J48" s="890"/>
      <c r="K48" s="890"/>
      <c r="L48" s="891"/>
    </row>
    <row r="49" spans="1:12" s="130" customFormat="1" x14ac:dyDescent="0.25">
      <c r="A49" s="276"/>
      <c r="B49" s="919"/>
      <c r="C49" s="890"/>
      <c r="D49" s="890"/>
      <c r="E49" s="890"/>
      <c r="F49" s="890"/>
      <c r="G49" s="891"/>
      <c r="H49" s="889"/>
      <c r="I49" s="890"/>
      <c r="J49" s="890"/>
      <c r="K49" s="890"/>
      <c r="L49" s="891"/>
    </row>
    <row r="50" spans="1:12" s="130" customFormat="1" x14ac:dyDescent="0.25">
      <c r="A50" s="276"/>
      <c r="B50" s="919"/>
      <c r="C50" s="890"/>
      <c r="D50" s="890"/>
      <c r="E50" s="890"/>
      <c r="F50" s="890"/>
      <c r="G50" s="891"/>
      <c r="H50" s="889"/>
      <c r="I50" s="890"/>
      <c r="J50" s="890"/>
      <c r="K50" s="890"/>
      <c r="L50" s="891"/>
    </row>
    <row r="51" spans="1:12" s="130" customFormat="1" ht="15.75" thickBot="1" x14ac:dyDescent="0.3">
      <c r="A51" s="276"/>
      <c r="B51" s="919"/>
      <c r="C51" s="890"/>
      <c r="D51" s="890"/>
      <c r="E51" s="890"/>
      <c r="F51" s="890"/>
      <c r="G51" s="891"/>
      <c r="H51" s="889"/>
      <c r="I51" s="890"/>
      <c r="J51" s="890"/>
      <c r="K51" s="890"/>
      <c r="L51" s="891"/>
    </row>
    <row r="52" spans="1:12" s="130" customFormat="1" ht="15" customHeight="1" x14ac:dyDescent="0.25">
      <c r="A52" s="281"/>
      <c r="B52" s="907" t="s">
        <v>1325</v>
      </c>
      <c r="C52" s="908"/>
      <c r="D52" s="908"/>
      <c r="E52" s="908"/>
      <c r="F52" s="908"/>
      <c r="G52" s="909"/>
      <c r="H52" s="913" t="s">
        <v>1326</v>
      </c>
      <c r="I52" s="914"/>
      <c r="J52" s="914"/>
      <c r="K52" s="914"/>
      <c r="L52" s="915"/>
    </row>
    <row r="53" spans="1:12" s="130" customFormat="1" ht="15.75" thickBot="1" x14ac:dyDescent="0.3">
      <c r="A53" s="280"/>
      <c r="B53" s="910"/>
      <c r="C53" s="911"/>
      <c r="D53" s="911"/>
      <c r="E53" s="911"/>
      <c r="F53" s="911"/>
      <c r="G53" s="912"/>
      <c r="H53" s="916"/>
      <c r="I53" s="917"/>
      <c r="J53" s="917"/>
      <c r="K53" s="917"/>
      <c r="L53" s="918"/>
    </row>
    <row r="54" spans="1:12" x14ac:dyDescent="0.25">
      <c r="B54" s="904"/>
      <c r="C54" s="905"/>
      <c r="D54" s="905"/>
      <c r="E54" s="905"/>
      <c r="F54" s="905"/>
      <c r="G54" s="906"/>
      <c r="H54" s="904"/>
      <c r="I54" s="905"/>
      <c r="J54" s="905"/>
      <c r="K54" s="905"/>
      <c r="L54" s="906"/>
    </row>
    <row r="55" spans="1:12" x14ac:dyDescent="0.25">
      <c r="B55" s="889"/>
      <c r="C55" s="919"/>
      <c r="D55" s="919"/>
      <c r="E55" s="919"/>
      <c r="F55" s="919"/>
      <c r="G55" s="891"/>
      <c r="H55" s="889"/>
      <c r="I55" s="890"/>
      <c r="J55" s="890"/>
      <c r="K55" s="890"/>
      <c r="L55" s="891"/>
    </row>
    <row r="56" spans="1:12" x14ac:dyDescent="0.25">
      <c r="B56" s="889"/>
      <c r="C56" s="919"/>
      <c r="D56" s="919"/>
      <c r="E56" s="919"/>
      <c r="F56" s="919"/>
      <c r="G56" s="891"/>
      <c r="H56" s="889"/>
      <c r="I56" s="890"/>
      <c r="J56" s="890"/>
      <c r="K56" s="890"/>
      <c r="L56" s="891"/>
    </row>
    <row r="57" spans="1:12" x14ac:dyDescent="0.25">
      <c r="B57" s="889"/>
      <c r="C57" s="919"/>
      <c r="D57" s="919"/>
      <c r="E57" s="919"/>
      <c r="F57" s="919"/>
      <c r="G57" s="891"/>
      <c r="H57" s="889"/>
      <c r="I57" s="890"/>
      <c r="J57" s="890"/>
      <c r="K57" s="890"/>
      <c r="L57" s="891"/>
    </row>
    <row r="58" spans="1:12" x14ac:dyDescent="0.25">
      <c r="B58" s="889"/>
      <c r="C58" s="919"/>
      <c r="D58" s="919"/>
      <c r="E58" s="919"/>
      <c r="F58" s="919"/>
      <c r="G58" s="891"/>
      <c r="H58" s="889"/>
      <c r="I58" s="890"/>
      <c r="J58" s="890"/>
      <c r="K58" s="890"/>
      <c r="L58" s="891"/>
    </row>
    <row r="59" spans="1:12" x14ac:dyDescent="0.25">
      <c r="B59" s="889"/>
      <c r="C59" s="919"/>
      <c r="D59" s="919"/>
      <c r="E59" s="919"/>
      <c r="F59" s="919"/>
      <c r="G59" s="891"/>
      <c r="H59" s="889"/>
      <c r="I59" s="890"/>
      <c r="J59" s="890"/>
      <c r="K59" s="890"/>
      <c r="L59" s="891"/>
    </row>
    <row r="60" spans="1:12" x14ac:dyDescent="0.25">
      <c r="B60" s="889"/>
      <c r="C60" s="919"/>
      <c r="D60" s="919"/>
      <c r="E60" s="919"/>
      <c r="F60" s="919"/>
      <c r="G60" s="891"/>
      <c r="H60" s="889"/>
      <c r="I60" s="890"/>
      <c r="J60" s="890"/>
      <c r="K60" s="890"/>
      <c r="L60" s="891"/>
    </row>
    <row r="61" spans="1:12" x14ac:dyDescent="0.25">
      <c r="B61" s="889"/>
      <c r="C61" s="919"/>
      <c r="D61" s="919"/>
      <c r="E61" s="919"/>
      <c r="F61" s="919"/>
      <c r="G61" s="891"/>
      <c r="H61" s="889"/>
      <c r="I61" s="890"/>
      <c r="J61" s="890"/>
      <c r="K61" s="890"/>
      <c r="L61" s="891"/>
    </row>
    <row r="62" spans="1:12" x14ac:dyDescent="0.25">
      <c r="B62" s="889"/>
      <c r="C62" s="919"/>
      <c r="D62" s="919"/>
      <c r="E62" s="919"/>
      <c r="F62" s="919"/>
      <c r="G62" s="891"/>
      <c r="H62" s="889"/>
      <c r="I62" s="890"/>
      <c r="J62" s="890"/>
      <c r="K62" s="890"/>
      <c r="L62" s="891"/>
    </row>
    <row r="63" spans="1:12" x14ac:dyDescent="0.25">
      <c r="B63" s="889"/>
      <c r="C63" s="919"/>
      <c r="D63" s="919"/>
      <c r="E63" s="919"/>
      <c r="F63" s="919"/>
      <c r="G63" s="891"/>
      <c r="H63" s="889"/>
      <c r="I63" s="890"/>
      <c r="J63" s="890"/>
      <c r="K63" s="890"/>
      <c r="L63" s="891"/>
    </row>
    <row r="64" spans="1:12" x14ac:dyDescent="0.25">
      <c r="B64" s="889"/>
      <c r="C64" s="919"/>
      <c r="D64" s="919"/>
      <c r="E64" s="919"/>
      <c r="F64" s="919"/>
      <c r="G64" s="891"/>
      <c r="H64" s="889"/>
      <c r="I64" s="890"/>
      <c r="J64" s="890"/>
      <c r="K64" s="890"/>
      <c r="L64" s="891"/>
    </row>
    <row r="65" spans="2:12" x14ac:dyDescent="0.25">
      <c r="B65" s="889"/>
      <c r="C65" s="919"/>
      <c r="D65" s="919"/>
      <c r="E65" s="919"/>
      <c r="F65" s="919"/>
      <c r="G65" s="891"/>
      <c r="H65" s="889"/>
      <c r="I65" s="890"/>
      <c r="J65" s="890"/>
      <c r="K65" s="890"/>
      <c r="L65" s="891"/>
    </row>
    <row r="66" spans="2:12" x14ac:dyDescent="0.25">
      <c r="B66" s="889"/>
      <c r="C66" s="919"/>
      <c r="D66" s="919"/>
      <c r="E66" s="919"/>
      <c r="F66" s="919"/>
      <c r="G66" s="891"/>
      <c r="H66" s="889"/>
      <c r="I66" s="890"/>
      <c r="J66" s="890"/>
      <c r="K66" s="890"/>
      <c r="L66" s="891"/>
    </row>
    <row r="67" spans="2:12" ht="15.75" thickBot="1" x14ac:dyDescent="0.3">
      <c r="B67" s="920"/>
      <c r="C67" s="921"/>
      <c r="D67" s="921"/>
      <c r="E67" s="921"/>
      <c r="F67" s="921"/>
      <c r="G67" s="922"/>
      <c r="H67" s="889"/>
      <c r="I67" s="890"/>
      <c r="J67" s="890"/>
      <c r="K67" s="890"/>
      <c r="L67" s="891"/>
    </row>
    <row r="68" spans="2:12" x14ac:dyDescent="0.25">
      <c r="B68" s="907"/>
      <c r="C68" s="908"/>
      <c r="D68" s="908"/>
      <c r="E68" s="908"/>
      <c r="F68" s="908"/>
      <c r="G68" s="909"/>
      <c r="H68" s="913"/>
      <c r="I68" s="914"/>
      <c r="J68" s="914"/>
      <c r="K68" s="914"/>
      <c r="L68" s="915"/>
    </row>
    <row r="69" spans="2:12" ht="15.75" thickBot="1" x14ac:dyDescent="0.3">
      <c r="B69" s="910"/>
      <c r="C69" s="911"/>
      <c r="D69" s="911"/>
      <c r="E69" s="911"/>
      <c r="F69" s="911"/>
      <c r="G69" s="912"/>
      <c r="H69" s="916"/>
      <c r="I69" s="917"/>
      <c r="J69" s="917"/>
      <c r="K69" s="917"/>
      <c r="L69" s="918"/>
    </row>
    <row r="70" spans="2:12" x14ac:dyDescent="0.25">
      <c r="B70" s="904" t="s">
        <v>503</v>
      </c>
      <c r="C70" s="905"/>
      <c r="D70" s="905"/>
      <c r="E70" s="905"/>
      <c r="F70" s="905"/>
      <c r="G70" s="906"/>
      <c r="H70" s="904" t="s">
        <v>504</v>
      </c>
      <c r="I70" s="905"/>
      <c r="J70" s="905"/>
      <c r="K70" s="905"/>
      <c r="L70" s="906"/>
    </row>
    <row r="71" spans="2:12" x14ac:dyDescent="0.25">
      <c r="B71" s="889"/>
      <c r="C71" s="919"/>
      <c r="D71" s="919"/>
      <c r="E71" s="919"/>
      <c r="F71" s="919"/>
      <c r="G71" s="891"/>
      <c r="H71" s="889"/>
      <c r="I71" s="890"/>
      <c r="J71" s="890"/>
      <c r="K71" s="890"/>
      <c r="L71" s="891"/>
    </row>
    <row r="72" spans="2:12" x14ac:dyDescent="0.25">
      <c r="B72" s="889"/>
      <c r="C72" s="919"/>
      <c r="D72" s="919"/>
      <c r="E72" s="919"/>
      <c r="F72" s="919"/>
      <c r="G72" s="891"/>
      <c r="H72" s="889"/>
      <c r="I72" s="890"/>
      <c r="J72" s="890"/>
      <c r="K72" s="890"/>
      <c r="L72" s="891"/>
    </row>
    <row r="73" spans="2:12" x14ac:dyDescent="0.25">
      <c r="B73" s="889"/>
      <c r="C73" s="919"/>
      <c r="D73" s="919"/>
      <c r="E73" s="919"/>
      <c r="F73" s="919"/>
      <c r="G73" s="891"/>
      <c r="H73" s="889"/>
      <c r="I73" s="890"/>
      <c r="J73" s="890"/>
      <c r="K73" s="890"/>
      <c r="L73" s="891"/>
    </row>
    <row r="74" spans="2:12" x14ac:dyDescent="0.25">
      <c r="B74" s="889"/>
      <c r="C74" s="919"/>
      <c r="D74" s="919"/>
      <c r="E74" s="919"/>
      <c r="F74" s="919"/>
      <c r="G74" s="891"/>
      <c r="H74" s="889"/>
      <c r="I74" s="890"/>
      <c r="J74" s="890"/>
      <c r="K74" s="890"/>
      <c r="L74" s="891"/>
    </row>
    <row r="75" spans="2:12" x14ac:dyDescent="0.25">
      <c r="B75" s="889"/>
      <c r="C75" s="919"/>
      <c r="D75" s="919"/>
      <c r="E75" s="919"/>
      <c r="F75" s="919"/>
      <c r="G75" s="891"/>
      <c r="H75" s="889"/>
      <c r="I75" s="890"/>
      <c r="J75" s="890"/>
      <c r="K75" s="890"/>
      <c r="L75" s="891"/>
    </row>
    <row r="76" spans="2:12" x14ac:dyDescent="0.25">
      <c r="B76" s="889"/>
      <c r="C76" s="919"/>
      <c r="D76" s="919"/>
      <c r="E76" s="919"/>
      <c r="F76" s="919"/>
      <c r="G76" s="891"/>
      <c r="H76" s="889"/>
      <c r="I76" s="890"/>
      <c r="J76" s="890"/>
      <c r="K76" s="890"/>
      <c r="L76" s="891"/>
    </row>
    <row r="77" spans="2:12" x14ac:dyDescent="0.25">
      <c r="B77" s="889"/>
      <c r="C77" s="919"/>
      <c r="D77" s="919"/>
      <c r="E77" s="919"/>
      <c r="F77" s="919"/>
      <c r="G77" s="891"/>
      <c r="H77" s="889"/>
      <c r="I77" s="890"/>
      <c r="J77" s="890"/>
      <c r="K77" s="890"/>
      <c r="L77" s="891"/>
    </row>
    <row r="78" spans="2:12" x14ac:dyDescent="0.25">
      <c r="B78" s="889"/>
      <c r="C78" s="919"/>
      <c r="D78" s="919"/>
      <c r="E78" s="919"/>
      <c r="F78" s="919"/>
      <c r="G78" s="891"/>
      <c r="H78" s="889"/>
      <c r="I78" s="890"/>
      <c r="J78" s="890"/>
      <c r="K78" s="890"/>
      <c r="L78" s="891"/>
    </row>
    <row r="79" spans="2:12" x14ac:dyDescent="0.25">
      <c r="B79" s="889"/>
      <c r="C79" s="919"/>
      <c r="D79" s="919"/>
      <c r="E79" s="919"/>
      <c r="F79" s="919"/>
      <c r="G79" s="891"/>
      <c r="H79" s="889"/>
      <c r="I79" s="890"/>
      <c r="J79" s="890"/>
      <c r="K79" s="890"/>
      <c r="L79" s="891"/>
    </row>
    <row r="80" spans="2:12" x14ac:dyDescent="0.25">
      <c r="B80" s="889"/>
      <c r="C80" s="919"/>
      <c r="D80" s="919"/>
      <c r="E80" s="919"/>
      <c r="F80" s="919"/>
      <c r="G80" s="891"/>
      <c r="H80" s="889"/>
      <c r="I80" s="890"/>
      <c r="J80" s="890"/>
      <c r="K80" s="890"/>
      <c r="L80" s="891"/>
    </row>
    <row r="81" spans="2:12" x14ac:dyDescent="0.25">
      <c r="B81" s="889"/>
      <c r="C81" s="919"/>
      <c r="D81" s="919"/>
      <c r="E81" s="919"/>
      <c r="F81" s="919"/>
      <c r="G81" s="891"/>
      <c r="H81" s="889"/>
      <c r="I81" s="890"/>
      <c r="J81" s="890"/>
      <c r="K81" s="890"/>
      <c r="L81" s="891"/>
    </row>
    <row r="82" spans="2:12" x14ac:dyDescent="0.25">
      <c r="B82" s="889"/>
      <c r="C82" s="919"/>
      <c r="D82" s="919"/>
      <c r="E82" s="919"/>
      <c r="F82" s="919"/>
      <c r="G82" s="891"/>
      <c r="H82" s="889"/>
      <c r="I82" s="890"/>
      <c r="J82" s="890"/>
      <c r="K82" s="890"/>
      <c r="L82" s="891"/>
    </row>
    <row r="83" spans="2:12" ht="15.75" thickBot="1" x14ac:dyDescent="0.3">
      <c r="B83" s="920"/>
      <c r="C83" s="921"/>
      <c r="D83" s="921"/>
      <c r="E83" s="921"/>
      <c r="F83" s="921"/>
      <c r="G83" s="922"/>
      <c r="H83" s="889"/>
      <c r="I83" s="890"/>
      <c r="J83" s="890"/>
      <c r="K83" s="890"/>
      <c r="L83" s="891"/>
    </row>
    <row r="84" spans="2:12" x14ac:dyDescent="0.25">
      <c r="B84" s="907"/>
      <c r="C84" s="908"/>
      <c r="D84" s="908"/>
      <c r="E84" s="908"/>
      <c r="F84" s="908"/>
      <c r="G84" s="909"/>
      <c r="H84" s="913"/>
      <c r="I84" s="914"/>
      <c r="J84" s="914"/>
      <c r="K84" s="914"/>
      <c r="L84" s="915"/>
    </row>
    <row r="85" spans="2:12" ht="15.75" thickBot="1" x14ac:dyDescent="0.3">
      <c r="B85" s="910"/>
      <c r="C85" s="911"/>
      <c r="D85" s="911"/>
      <c r="E85" s="911"/>
      <c r="F85" s="911"/>
      <c r="G85" s="912"/>
      <c r="H85" s="916"/>
      <c r="I85" s="917"/>
      <c r="J85" s="917"/>
      <c r="K85" s="917"/>
      <c r="L85" s="918"/>
    </row>
  </sheetData>
  <mergeCells count="27">
    <mergeCell ref="B6:G19"/>
    <mergeCell ref="H6:L19"/>
    <mergeCell ref="B20:G21"/>
    <mergeCell ref="H20:L21"/>
    <mergeCell ref="B22:G35"/>
    <mergeCell ref="H22:L35"/>
    <mergeCell ref="B1:L2"/>
    <mergeCell ref="B3:E3"/>
    <mergeCell ref="G3:I3"/>
    <mergeCell ref="J3:L3"/>
    <mergeCell ref="B4:H5"/>
    <mergeCell ref="K4:L4"/>
    <mergeCell ref="K5:L5"/>
    <mergeCell ref="B36:G37"/>
    <mergeCell ref="H36:L37"/>
    <mergeCell ref="B38:G51"/>
    <mergeCell ref="H38:L51"/>
    <mergeCell ref="B70:G83"/>
    <mergeCell ref="H70:L83"/>
    <mergeCell ref="B84:G85"/>
    <mergeCell ref="H84:L85"/>
    <mergeCell ref="B52:G53"/>
    <mergeCell ref="H52:L53"/>
    <mergeCell ref="B54:G67"/>
    <mergeCell ref="H54:L67"/>
    <mergeCell ref="B68:G69"/>
    <mergeCell ref="H68:L69"/>
  </mergeCells>
  <pageMargins left="0.7" right="0.7" top="0.75" bottom="0.75" header="0.3" footer="0.3"/>
  <pageSetup paperSize="9" scale="65" orientation="portrait" r:id="rId1"/>
  <rowBreaks count="1" manualBreakCount="1">
    <brk id="69" min="1" max="11"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O104"/>
  <sheetViews>
    <sheetView view="pageBreakPreview" topLeftCell="A5" zoomScale="85" zoomScaleNormal="100" zoomScaleSheetLayoutView="85" zoomScalePageLayoutView="110" workbookViewId="0">
      <selection activeCell="H87" sqref="H87:M88"/>
    </sheetView>
  </sheetViews>
  <sheetFormatPr baseColWidth="10" defaultColWidth="12" defaultRowHeight="15" x14ac:dyDescent="0.25"/>
  <cols>
    <col min="1" max="1" width="3.85546875" style="130" customWidth="1"/>
    <col min="2" max="2" width="4.85546875" style="130" customWidth="1"/>
    <col min="3" max="3" width="8.7109375" style="130" customWidth="1"/>
    <col min="4" max="4" width="8.42578125" style="130" customWidth="1"/>
    <col min="5" max="5" width="12" style="130"/>
    <col min="6" max="6" width="12.5703125" style="130" customWidth="1"/>
    <col min="7" max="7" width="10" style="130" customWidth="1"/>
    <col min="8" max="8" width="9" style="130" customWidth="1"/>
    <col min="9" max="9" width="23.5703125" style="130" customWidth="1"/>
    <col min="10" max="10" width="13.7109375" style="130" customWidth="1"/>
    <col min="11" max="11" width="14.140625" style="130" customWidth="1"/>
    <col min="12" max="12" width="10" style="130" customWidth="1"/>
    <col min="13" max="13" width="12" style="130" hidden="1" customWidth="1"/>
    <col min="14" max="16384" width="12" style="130"/>
  </cols>
  <sheetData>
    <row r="1" spans="2:12" ht="27.75" customHeight="1" x14ac:dyDescent="0.25">
      <c r="B1" s="981" t="s">
        <v>251</v>
      </c>
      <c r="C1" s="874"/>
      <c r="D1" s="874"/>
      <c r="E1" s="874"/>
      <c r="F1" s="874"/>
      <c r="G1" s="874"/>
      <c r="H1" s="874"/>
      <c r="I1" s="874"/>
      <c r="J1" s="874"/>
      <c r="K1" s="874"/>
      <c r="L1" s="929"/>
    </row>
    <row r="2" spans="2:12" ht="11.25" customHeight="1" x14ac:dyDescent="0.25">
      <c r="B2" s="982"/>
      <c r="C2" s="875"/>
      <c r="D2" s="875"/>
      <c r="E2" s="875"/>
      <c r="F2" s="875"/>
      <c r="G2" s="875"/>
      <c r="H2" s="875"/>
      <c r="I2" s="875"/>
      <c r="J2" s="875"/>
      <c r="K2" s="875"/>
      <c r="L2" s="931"/>
    </row>
    <row r="3" spans="2:12" ht="24.95" customHeight="1" x14ac:dyDescent="0.25">
      <c r="B3" s="934" t="s">
        <v>289</v>
      </c>
      <c r="C3" s="932"/>
      <c r="D3" s="932"/>
      <c r="E3" s="933"/>
      <c r="F3" s="97">
        <v>44245</v>
      </c>
      <c r="G3" s="934" t="s">
        <v>290</v>
      </c>
      <c r="H3" s="932"/>
      <c r="I3" s="933"/>
      <c r="J3" s="935">
        <v>44251</v>
      </c>
      <c r="K3" s="983"/>
      <c r="L3" s="984"/>
    </row>
    <row r="4" spans="2:12" ht="24.95" customHeight="1" x14ac:dyDescent="0.25">
      <c r="B4" s="985" t="s">
        <v>250</v>
      </c>
      <c r="C4" s="936"/>
      <c r="D4" s="936"/>
      <c r="E4" s="936"/>
      <c r="F4" s="936"/>
      <c r="G4" s="936"/>
      <c r="H4" s="937"/>
      <c r="I4" s="355" t="s">
        <v>489</v>
      </c>
      <c r="J4" s="355" t="s">
        <v>2</v>
      </c>
      <c r="K4" s="887" t="s">
        <v>0</v>
      </c>
      <c r="L4" s="940"/>
    </row>
    <row r="5" spans="2:12" ht="24.95" customHeight="1" thickBot="1" x14ac:dyDescent="0.3">
      <c r="B5" s="986"/>
      <c r="C5" s="987"/>
      <c r="D5" s="987"/>
      <c r="E5" s="987"/>
      <c r="F5" s="987"/>
      <c r="G5" s="987"/>
      <c r="H5" s="988"/>
      <c r="I5" s="81" t="s">
        <v>490</v>
      </c>
      <c r="J5" s="133">
        <v>2</v>
      </c>
      <c r="K5" s="989" t="s">
        <v>291</v>
      </c>
      <c r="L5" s="990"/>
    </row>
    <row r="6" spans="2:12" ht="24.95" customHeight="1" thickBot="1" x14ac:dyDescent="0.3">
      <c r="B6" s="976" t="s">
        <v>509</v>
      </c>
      <c r="C6" s="977"/>
      <c r="D6" s="977"/>
      <c r="E6" s="977"/>
      <c r="F6" s="977"/>
      <c r="G6" s="977"/>
      <c r="H6" s="977"/>
      <c r="I6" s="977"/>
      <c r="J6" s="977"/>
      <c r="K6" s="977"/>
      <c r="L6" s="978"/>
    </row>
    <row r="7" spans="2:12" ht="15.75" customHeight="1" x14ac:dyDescent="0.25">
      <c r="B7" s="889" t="s">
        <v>452</v>
      </c>
      <c r="C7" s="890"/>
      <c r="D7" s="890"/>
      <c r="E7" s="890"/>
      <c r="F7" s="890"/>
      <c r="G7" s="891"/>
      <c r="H7" s="889" t="s">
        <v>453</v>
      </c>
      <c r="I7" s="890"/>
      <c r="J7" s="890"/>
      <c r="K7" s="890"/>
      <c r="L7" s="891"/>
    </row>
    <row r="8" spans="2:12" x14ac:dyDescent="0.25">
      <c r="B8" s="889"/>
      <c r="C8" s="890"/>
      <c r="D8" s="890"/>
      <c r="E8" s="890"/>
      <c r="F8" s="890"/>
      <c r="G8" s="891"/>
      <c r="H8" s="889"/>
      <c r="I8" s="890"/>
      <c r="J8" s="890"/>
      <c r="K8" s="890"/>
      <c r="L8" s="891"/>
    </row>
    <row r="9" spans="2:12" x14ac:dyDescent="0.25">
      <c r="B9" s="889"/>
      <c r="C9" s="890"/>
      <c r="D9" s="890"/>
      <c r="E9" s="890"/>
      <c r="F9" s="890"/>
      <c r="G9" s="891"/>
      <c r="H9" s="889"/>
      <c r="I9" s="890"/>
      <c r="J9" s="890"/>
      <c r="K9" s="890"/>
      <c r="L9" s="891"/>
    </row>
    <row r="10" spans="2:12" x14ac:dyDescent="0.25">
      <c r="B10" s="889"/>
      <c r="C10" s="890"/>
      <c r="D10" s="890"/>
      <c r="E10" s="890"/>
      <c r="F10" s="890"/>
      <c r="G10" s="891"/>
      <c r="H10" s="889"/>
      <c r="I10" s="890"/>
      <c r="J10" s="890"/>
      <c r="K10" s="890"/>
      <c r="L10" s="891"/>
    </row>
    <row r="11" spans="2:12" x14ac:dyDescent="0.25">
      <c r="B11" s="889"/>
      <c r="C11" s="890"/>
      <c r="D11" s="890"/>
      <c r="E11" s="890"/>
      <c r="F11" s="890"/>
      <c r="G11" s="891"/>
      <c r="H11" s="889"/>
      <c r="I11" s="890"/>
      <c r="J11" s="890"/>
      <c r="K11" s="890"/>
      <c r="L11" s="891"/>
    </row>
    <row r="12" spans="2:12" x14ac:dyDescent="0.25">
      <c r="B12" s="889"/>
      <c r="C12" s="890"/>
      <c r="D12" s="890"/>
      <c r="E12" s="890"/>
      <c r="F12" s="890"/>
      <c r="G12" s="891"/>
      <c r="H12" s="889"/>
      <c r="I12" s="890"/>
      <c r="J12" s="890"/>
      <c r="K12" s="890"/>
      <c r="L12" s="891"/>
    </row>
    <row r="13" spans="2:12" x14ac:dyDescent="0.25">
      <c r="B13" s="889"/>
      <c r="C13" s="890"/>
      <c r="D13" s="890"/>
      <c r="E13" s="890"/>
      <c r="F13" s="890"/>
      <c r="G13" s="891"/>
      <c r="H13" s="889"/>
      <c r="I13" s="890"/>
      <c r="J13" s="890"/>
      <c r="K13" s="890"/>
      <c r="L13" s="891"/>
    </row>
    <row r="14" spans="2:12" x14ac:dyDescent="0.25">
      <c r="B14" s="889"/>
      <c r="C14" s="890"/>
      <c r="D14" s="890"/>
      <c r="E14" s="890"/>
      <c r="F14" s="890"/>
      <c r="G14" s="891"/>
      <c r="H14" s="889"/>
      <c r="I14" s="890"/>
      <c r="J14" s="890"/>
      <c r="K14" s="890"/>
      <c r="L14" s="891"/>
    </row>
    <row r="15" spans="2:12" x14ac:dyDescent="0.25">
      <c r="B15" s="889"/>
      <c r="C15" s="890"/>
      <c r="D15" s="890"/>
      <c r="E15" s="890"/>
      <c r="F15" s="890"/>
      <c r="G15" s="891"/>
      <c r="H15" s="889"/>
      <c r="I15" s="890"/>
      <c r="J15" s="890"/>
      <c r="K15" s="890"/>
      <c r="L15" s="891"/>
    </row>
    <row r="16" spans="2:12" x14ac:dyDescent="0.25">
      <c r="B16" s="889"/>
      <c r="C16" s="890"/>
      <c r="D16" s="890"/>
      <c r="E16" s="890"/>
      <c r="F16" s="890"/>
      <c r="G16" s="891"/>
      <c r="H16" s="889"/>
      <c r="I16" s="890"/>
      <c r="J16" s="890"/>
      <c r="K16" s="890"/>
      <c r="L16" s="891"/>
    </row>
    <row r="17" spans="2:13" x14ac:dyDescent="0.25">
      <c r="B17" s="889"/>
      <c r="C17" s="890"/>
      <c r="D17" s="890"/>
      <c r="E17" s="890"/>
      <c r="F17" s="890"/>
      <c r="G17" s="891"/>
      <c r="H17" s="889"/>
      <c r="I17" s="890"/>
      <c r="J17" s="890"/>
      <c r="K17" s="890"/>
      <c r="L17" s="891"/>
    </row>
    <row r="18" spans="2:13" x14ac:dyDescent="0.25">
      <c r="B18" s="889"/>
      <c r="C18" s="890"/>
      <c r="D18" s="890"/>
      <c r="E18" s="890"/>
      <c r="F18" s="890"/>
      <c r="G18" s="891"/>
      <c r="H18" s="889"/>
      <c r="I18" s="890"/>
      <c r="J18" s="890"/>
      <c r="K18" s="890"/>
      <c r="L18" s="891"/>
    </row>
    <row r="19" spans="2:13" x14ac:dyDescent="0.25">
      <c r="B19" s="889"/>
      <c r="C19" s="890"/>
      <c r="D19" s="890"/>
      <c r="E19" s="890"/>
      <c r="F19" s="890"/>
      <c r="G19" s="891"/>
      <c r="H19" s="889"/>
      <c r="I19" s="890"/>
      <c r="J19" s="890"/>
      <c r="K19" s="890"/>
      <c r="L19" s="891"/>
    </row>
    <row r="20" spans="2:13" ht="15.75" thickBot="1" x14ac:dyDescent="0.3">
      <c r="B20" s="889"/>
      <c r="C20" s="890"/>
      <c r="D20" s="890"/>
      <c r="E20" s="890"/>
      <c r="F20" s="890"/>
      <c r="G20" s="891"/>
      <c r="H20" s="889"/>
      <c r="I20" s="890"/>
      <c r="J20" s="890"/>
      <c r="K20" s="890"/>
      <c r="L20" s="891"/>
    </row>
    <row r="21" spans="2:13" ht="15" customHeight="1" x14ac:dyDescent="0.25">
      <c r="B21" s="968" t="s">
        <v>1210</v>
      </c>
      <c r="C21" s="969"/>
      <c r="D21" s="969"/>
      <c r="E21" s="969"/>
      <c r="F21" s="969"/>
      <c r="G21" s="974"/>
      <c r="H21" s="968" t="s">
        <v>1211</v>
      </c>
      <c r="I21" s="969"/>
      <c r="J21" s="969"/>
      <c r="K21" s="969"/>
      <c r="L21" s="969"/>
      <c r="M21" s="979"/>
    </row>
    <row r="22" spans="2:13" ht="37.5" customHeight="1" thickBot="1" x14ac:dyDescent="0.3">
      <c r="B22" s="970"/>
      <c r="C22" s="971"/>
      <c r="D22" s="971"/>
      <c r="E22" s="971"/>
      <c r="F22" s="971"/>
      <c r="G22" s="975"/>
      <c r="H22" s="970"/>
      <c r="I22" s="971"/>
      <c r="J22" s="971"/>
      <c r="K22" s="971"/>
      <c r="L22" s="971"/>
      <c r="M22" s="980"/>
    </row>
    <row r="23" spans="2:13" ht="15.75" customHeight="1" x14ac:dyDescent="0.25">
      <c r="B23" s="904" t="s">
        <v>501</v>
      </c>
      <c r="C23" s="905"/>
      <c r="D23" s="905"/>
      <c r="E23" s="905"/>
      <c r="F23" s="905"/>
      <c r="G23" s="906"/>
      <c r="H23" s="904" t="s">
        <v>502</v>
      </c>
      <c r="I23" s="905"/>
      <c r="J23" s="905"/>
      <c r="K23" s="905"/>
      <c r="L23" s="906"/>
    </row>
    <row r="24" spans="2:13" x14ac:dyDescent="0.25">
      <c r="B24" s="889"/>
      <c r="C24" s="890"/>
      <c r="D24" s="890"/>
      <c r="E24" s="890"/>
      <c r="F24" s="890"/>
      <c r="G24" s="891"/>
      <c r="H24" s="889"/>
      <c r="I24" s="890"/>
      <c r="J24" s="890"/>
      <c r="K24" s="890"/>
      <c r="L24" s="891"/>
    </row>
    <row r="25" spans="2:13" x14ac:dyDescent="0.25">
      <c r="B25" s="889"/>
      <c r="C25" s="890"/>
      <c r="D25" s="890"/>
      <c r="E25" s="890"/>
      <c r="F25" s="890"/>
      <c r="G25" s="891"/>
      <c r="H25" s="889"/>
      <c r="I25" s="890"/>
      <c r="J25" s="890"/>
      <c r="K25" s="890"/>
      <c r="L25" s="891"/>
    </row>
    <row r="26" spans="2:13" x14ac:dyDescent="0.25">
      <c r="B26" s="889"/>
      <c r="C26" s="890"/>
      <c r="D26" s="890"/>
      <c r="E26" s="890"/>
      <c r="F26" s="890"/>
      <c r="G26" s="891"/>
      <c r="H26" s="889"/>
      <c r="I26" s="890"/>
      <c r="J26" s="890"/>
      <c r="K26" s="890"/>
      <c r="L26" s="891"/>
    </row>
    <row r="27" spans="2:13" x14ac:dyDescent="0.25">
      <c r="B27" s="889"/>
      <c r="C27" s="890"/>
      <c r="D27" s="890"/>
      <c r="E27" s="890"/>
      <c r="F27" s="890"/>
      <c r="G27" s="891"/>
      <c r="H27" s="889"/>
      <c r="I27" s="890"/>
      <c r="J27" s="890"/>
      <c r="K27" s="890"/>
      <c r="L27" s="891"/>
    </row>
    <row r="28" spans="2:13" x14ac:dyDescent="0.25">
      <c r="B28" s="889"/>
      <c r="C28" s="890"/>
      <c r="D28" s="890"/>
      <c r="E28" s="890"/>
      <c r="F28" s="890"/>
      <c r="G28" s="891"/>
      <c r="H28" s="889"/>
      <c r="I28" s="890"/>
      <c r="J28" s="890"/>
      <c r="K28" s="890"/>
      <c r="L28" s="891"/>
    </row>
    <row r="29" spans="2:13" x14ac:dyDescent="0.25">
      <c r="B29" s="889"/>
      <c r="C29" s="890"/>
      <c r="D29" s="890"/>
      <c r="E29" s="890"/>
      <c r="F29" s="890"/>
      <c r="G29" s="891"/>
      <c r="H29" s="889"/>
      <c r="I29" s="890"/>
      <c r="J29" s="890"/>
      <c r="K29" s="890"/>
      <c r="L29" s="891"/>
    </row>
    <row r="30" spans="2:13" x14ac:dyDescent="0.25">
      <c r="B30" s="889"/>
      <c r="C30" s="890"/>
      <c r="D30" s="890"/>
      <c r="E30" s="890"/>
      <c r="F30" s="890"/>
      <c r="G30" s="891"/>
      <c r="H30" s="889"/>
      <c r="I30" s="890"/>
      <c r="J30" s="890"/>
      <c r="K30" s="890"/>
      <c r="L30" s="891"/>
    </row>
    <row r="31" spans="2:13" x14ac:dyDescent="0.25">
      <c r="B31" s="889"/>
      <c r="C31" s="890"/>
      <c r="D31" s="890"/>
      <c r="E31" s="890"/>
      <c r="F31" s="890"/>
      <c r="G31" s="891"/>
      <c r="H31" s="889"/>
      <c r="I31" s="890"/>
      <c r="J31" s="890"/>
      <c r="K31" s="890"/>
      <c r="L31" s="891"/>
    </row>
    <row r="32" spans="2:13" x14ac:dyDescent="0.25">
      <c r="B32" s="889"/>
      <c r="C32" s="890"/>
      <c r="D32" s="890"/>
      <c r="E32" s="890"/>
      <c r="F32" s="890"/>
      <c r="G32" s="891"/>
      <c r="H32" s="889"/>
      <c r="I32" s="890"/>
      <c r="J32" s="890"/>
      <c r="K32" s="890"/>
      <c r="L32" s="891"/>
    </row>
    <row r="33" spans="2:14" x14ac:dyDescent="0.25">
      <c r="B33" s="889"/>
      <c r="C33" s="890"/>
      <c r="D33" s="890"/>
      <c r="E33" s="890"/>
      <c r="F33" s="890"/>
      <c r="G33" s="891"/>
      <c r="H33" s="889"/>
      <c r="I33" s="890"/>
      <c r="J33" s="890"/>
      <c r="K33" s="890"/>
      <c r="L33" s="891"/>
      <c r="N33" s="361"/>
    </row>
    <row r="34" spans="2:14" x14ac:dyDescent="0.25">
      <c r="B34" s="889"/>
      <c r="C34" s="890"/>
      <c r="D34" s="890"/>
      <c r="E34" s="890"/>
      <c r="F34" s="890"/>
      <c r="G34" s="891"/>
      <c r="H34" s="889"/>
      <c r="I34" s="890"/>
      <c r="J34" s="890"/>
      <c r="K34" s="890"/>
      <c r="L34" s="891"/>
    </row>
    <row r="35" spans="2:14" x14ac:dyDescent="0.25">
      <c r="B35" s="889"/>
      <c r="C35" s="890"/>
      <c r="D35" s="890"/>
      <c r="E35" s="890"/>
      <c r="F35" s="890"/>
      <c r="G35" s="891"/>
      <c r="H35" s="889"/>
      <c r="I35" s="890"/>
      <c r="J35" s="890"/>
      <c r="K35" s="890"/>
      <c r="L35" s="891"/>
      <c r="N35" s="336"/>
    </row>
    <row r="36" spans="2:14" ht="15.75" thickBot="1" x14ac:dyDescent="0.3">
      <c r="B36" s="889"/>
      <c r="C36" s="890"/>
      <c r="D36" s="890"/>
      <c r="E36" s="890"/>
      <c r="F36" s="890"/>
      <c r="G36" s="891"/>
      <c r="H36" s="889"/>
      <c r="I36" s="890"/>
      <c r="J36" s="890"/>
      <c r="K36" s="890"/>
      <c r="L36" s="891"/>
    </row>
    <row r="37" spans="2:14" ht="15" customHeight="1" x14ac:dyDescent="0.25">
      <c r="B37" s="962" t="s">
        <v>1212</v>
      </c>
      <c r="C37" s="963"/>
      <c r="D37" s="963"/>
      <c r="E37" s="963"/>
      <c r="F37" s="963"/>
      <c r="G37" s="964"/>
      <c r="H37" s="968" t="s">
        <v>1213</v>
      </c>
      <c r="I37" s="969"/>
      <c r="J37" s="969"/>
      <c r="K37" s="969"/>
      <c r="L37" s="969"/>
      <c r="M37" s="972"/>
    </row>
    <row r="38" spans="2:14" ht="35.25" customHeight="1" thickBot="1" x14ac:dyDescent="0.3">
      <c r="B38" s="965"/>
      <c r="C38" s="966"/>
      <c r="D38" s="966"/>
      <c r="E38" s="966"/>
      <c r="F38" s="966"/>
      <c r="G38" s="967"/>
      <c r="H38" s="970"/>
      <c r="I38" s="971"/>
      <c r="J38" s="971"/>
      <c r="K38" s="971"/>
      <c r="L38" s="971"/>
      <c r="M38" s="973"/>
    </row>
    <row r="39" spans="2:14" ht="26.25" customHeight="1" thickBot="1" x14ac:dyDescent="0.3">
      <c r="B39" s="959" t="s">
        <v>510</v>
      </c>
      <c r="C39" s="960"/>
      <c r="D39" s="960"/>
      <c r="E39" s="960"/>
      <c r="F39" s="960"/>
      <c r="G39" s="960"/>
      <c r="H39" s="960"/>
      <c r="I39" s="960"/>
      <c r="J39" s="960"/>
      <c r="K39" s="960"/>
      <c r="L39" s="961"/>
      <c r="M39" s="279"/>
    </row>
    <row r="40" spans="2:14" x14ac:dyDescent="0.25">
      <c r="B40" s="904" t="s">
        <v>503</v>
      </c>
      <c r="C40" s="905"/>
      <c r="D40" s="905"/>
      <c r="E40" s="905"/>
      <c r="F40" s="905"/>
      <c r="G40" s="906"/>
      <c r="H40" s="904" t="s">
        <v>504</v>
      </c>
      <c r="I40" s="905"/>
      <c r="J40" s="905"/>
      <c r="K40" s="905"/>
      <c r="L40" s="906"/>
    </row>
    <row r="41" spans="2:14" x14ac:dyDescent="0.25">
      <c r="B41" s="889"/>
      <c r="C41" s="890"/>
      <c r="D41" s="890"/>
      <c r="E41" s="890"/>
      <c r="F41" s="890"/>
      <c r="G41" s="891"/>
      <c r="H41" s="889"/>
      <c r="I41" s="890"/>
      <c r="J41" s="890"/>
      <c r="K41" s="890"/>
      <c r="L41" s="891"/>
    </row>
    <row r="42" spans="2:14" x14ac:dyDescent="0.25">
      <c r="B42" s="889"/>
      <c r="C42" s="890"/>
      <c r="D42" s="890"/>
      <c r="E42" s="890"/>
      <c r="F42" s="890"/>
      <c r="G42" s="891"/>
      <c r="H42" s="889"/>
      <c r="I42" s="890"/>
      <c r="J42" s="890"/>
      <c r="K42" s="890"/>
      <c r="L42" s="891"/>
    </row>
    <row r="43" spans="2:14" x14ac:dyDescent="0.25">
      <c r="B43" s="889"/>
      <c r="C43" s="890"/>
      <c r="D43" s="890"/>
      <c r="E43" s="890"/>
      <c r="F43" s="890"/>
      <c r="G43" s="891"/>
      <c r="H43" s="889"/>
      <c r="I43" s="890"/>
      <c r="J43" s="890"/>
      <c r="K43" s="890"/>
      <c r="L43" s="891"/>
    </row>
    <row r="44" spans="2:14" x14ac:dyDescent="0.25">
      <c r="B44" s="889"/>
      <c r="C44" s="890"/>
      <c r="D44" s="890"/>
      <c r="E44" s="890"/>
      <c r="F44" s="890"/>
      <c r="G44" s="891"/>
      <c r="H44" s="889"/>
      <c r="I44" s="890"/>
      <c r="J44" s="890"/>
      <c r="K44" s="890"/>
      <c r="L44" s="891"/>
    </row>
    <row r="45" spans="2:14" x14ac:dyDescent="0.25">
      <c r="B45" s="889"/>
      <c r="C45" s="890"/>
      <c r="D45" s="890"/>
      <c r="E45" s="890"/>
      <c r="F45" s="890"/>
      <c r="G45" s="891"/>
      <c r="H45" s="889"/>
      <c r="I45" s="890"/>
      <c r="J45" s="890"/>
      <c r="K45" s="890"/>
      <c r="L45" s="891"/>
    </row>
    <row r="46" spans="2:14" x14ac:dyDescent="0.25">
      <c r="B46" s="889"/>
      <c r="C46" s="890"/>
      <c r="D46" s="890"/>
      <c r="E46" s="890"/>
      <c r="F46" s="890"/>
      <c r="G46" s="891"/>
      <c r="H46" s="889"/>
      <c r="I46" s="890"/>
      <c r="J46" s="890"/>
      <c r="K46" s="890"/>
      <c r="L46" s="891"/>
    </row>
    <row r="47" spans="2:14" x14ac:dyDescent="0.25">
      <c r="B47" s="889"/>
      <c r="C47" s="890"/>
      <c r="D47" s="890"/>
      <c r="E47" s="890"/>
      <c r="F47" s="890"/>
      <c r="G47" s="891"/>
      <c r="H47" s="889"/>
      <c r="I47" s="890"/>
      <c r="J47" s="890"/>
      <c r="K47" s="890"/>
      <c r="L47" s="891"/>
    </row>
    <row r="48" spans="2:14" x14ac:dyDescent="0.25">
      <c r="B48" s="889"/>
      <c r="C48" s="890"/>
      <c r="D48" s="890"/>
      <c r="E48" s="890"/>
      <c r="F48" s="890"/>
      <c r="G48" s="891"/>
      <c r="H48" s="889"/>
      <c r="I48" s="890"/>
      <c r="J48" s="890"/>
      <c r="K48" s="890"/>
      <c r="L48" s="891"/>
    </row>
    <row r="49" spans="2:13" x14ac:dyDescent="0.25">
      <c r="B49" s="889"/>
      <c r="C49" s="890"/>
      <c r="D49" s="890"/>
      <c r="E49" s="890"/>
      <c r="F49" s="890"/>
      <c r="G49" s="891"/>
      <c r="H49" s="889"/>
      <c r="I49" s="890"/>
      <c r="J49" s="890"/>
      <c r="K49" s="890"/>
      <c r="L49" s="891"/>
    </row>
    <row r="50" spans="2:13" x14ac:dyDescent="0.25">
      <c r="B50" s="889"/>
      <c r="C50" s="890"/>
      <c r="D50" s="890"/>
      <c r="E50" s="890"/>
      <c r="F50" s="890"/>
      <c r="G50" s="891"/>
      <c r="H50" s="889"/>
      <c r="I50" s="890"/>
      <c r="J50" s="890"/>
      <c r="K50" s="890"/>
      <c r="L50" s="891"/>
    </row>
    <row r="51" spans="2:13" x14ac:dyDescent="0.25">
      <c r="B51" s="889"/>
      <c r="C51" s="890"/>
      <c r="D51" s="890"/>
      <c r="E51" s="890"/>
      <c r="F51" s="890"/>
      <c r="G51" s="891"/>
      <c r="H51" s="889"/>
      <c r="I51" s="890"/>
      <c r="J51" s="890"/>
      <c r="K51" s="890"/>
      <c r="L51" s="891"/>
    </row>
    <row r="52" spans="2:13" x14ac:dyDescent="0.25">
      <c r="B52" s="889"/>
      <c r="C52" s="890"/>
      <c r="D52" s="890"/>
      <c r="E52" s="890"/>
      <c r="F52" s="890"/>
      <c r="G52" s="891"/>
      <c r="H52" s="889"/>
      <c r="I52" s="890"/>
      <c r="J52" s="890"/>
      <c r="K52" s="890"/>
      <c r="L52" s="891"/>
    </row>
    <row r="53" spans="2:13" ht="15.75" thickBot="1" x14ac:dyDescent="0.3">
      <c r="B53" s="889"/>
      <c r="C53" s="890"/>
      <c r="D53" s="890"/>
      <c r="E53" s="890"/>
      <c r="F53" s="890"/>
      <c r="G53" s="891"/>
      <c r="H53" s="889"/>
      <c r="I53" s="890"/>
      <c r="J53" s="890"/>
      <c r="K53" s="890"/>
      <c r="L53" s="891"/>
    </row>
    <row r="54" spans="2:13" ht="15" customHeight="1" x14ac:dyDescent="0.25">
      <c r="B54" s="962" t="s">
        <v>1214</v>
      </c>
      <c r="C54" s="963"/>
      <c r="D54" s="963"/>
      <c r="E54" s="963"/>
      <c r="F54" s="963"/>
      <c r="G54" s="964"/>
      <c r="H54" s="968" t="s">
        <v>1215</v>
      </c>
      <c r="I54" s="969"/>
      <c r="J54" s="969"/>
      <c r="K54" s="969"/>
      <c r="L54" s="969"/>
      <c r="M54" s="972"/>
    </row>
    <row r="55" spans="2:13" ht="36" customHeight="1" thickBot="1" x14ac:dyDescent="0.3">
      <c r="B55" s="965"/>
      <c r="C55" s="966"/>
      <c r="D55" s="966"/>
      <c r="E55" s="966"/>
      <c r="F55" s="966"/>
      <c r="G55" s="967"/>
      <c r="H55" s="970"/>
      <c r="I55" s="971"/>
      <c r="J55" s="971"/>
      <c r="K55" s="971"/>
      <c r="L55" s="971"/>
      <c r="M55" s="973"/>
    </row>
    <row r="56" spans="2:13" ht="15" customHeight="1" x14ac:dyDescent="0.25">
      <c r="B56" s="904" t="s">
        <v>503</v>
      </c>
      <c r="C56" s="905"/>
      <c r="D56" s="905"/>
      <c r="E56" s="905"/>
      <c r="F56" s="905"/>
      <c r="G56" s="906"/>
      <c r="H56" s="904" t="s">
        <v>504</v>
      </c>
      <c r="I56" s="905"/>
      <c r="J56" s="905"/>
      <c r="K56" s="905"/>
      <c r="L56" s="906"/>
    </row>
    <row r="57" spans="2:13" ht="15" customHeight="1" x14ac:dyDescent="0.25">
      <c r="B57" s="889"/>
      <c r="C57" s="890"/>
      <c r="D57" s="890"/>
      <c r="E57" s="890"/>
      <c r="F57" s="890"/>
      <c r="G57" s="891"/>
      <c r="H57" s="889"/>
      <c r="I57" s="890"/>
      <c r="J57" s="890"/>
      <c r="K57" s="890"/>
      <c r="L57" s="891"/>
    </row>
    <row r="58" spans="2:13" ht="15" customHeight="1" x14ac:dyDescent="0.25">
      <c r="B58" s="889"/>
      <c r="C58" s="890"/>
      <c r="D58" s="890"/>
      <c r="E58" s="890"/>
      <c r="F58" s="890"/>
      <c r="G58" s="891"/>
      <c r="H58" s="889"/>
      <c r="I58" s="890"/>
      <c r="J58" s="890"/>
      <c r="K58" s="890"/>
      <c r="L58" s="891"/>
    </row>
    <row r="59" spans="2:13" ht="15" customHeight="1" x14ac:dyDescent="0.25">
      <c r="B59" s="889"/>
      <c r="C59" s="890"/>
      <c r="D59" s="890"/>
      <c r="E59" s="890"/>
      <c r="F59" s="890"/>
      <c r="G59" s="891"/>
      <c r="H59" s="889"/>
      <c r="I59" s="890"/>
      <c r="J59" s="890"/>
      <c r="K59" s="890"/>
      <c r="L59" s="891"/>
    </row>
    <row r="60" spans="2:13" ht="15" customHeight="1" x14ac:dyDescent="0.25">
      <c r="B60" s="889"/>
      <c r="C60" s="890"/>
      <c r="D60" s="890"/>
      <c r="E60" s="890"/>
      <c r="F60" s="890"/>
      <c r="G60" s="891"/>
      <c r="H60" s="889"/>
      <c r="I60" s="890"/>
      <c r="J60" s="890"/>
      <c r="K60" s="890"/>
      <c r="L60" s="891"/>
    </row>
    <row r="61" spans="2:13" ht="15" customHeight="1" x14ac:dyDescent="0.25">
      <c r="B61" s="889"/>
      <c r="C61" s="890"/>
      <c r="D61" s="890"/>
      <c r="E61" s="890"/>
      <c r="F61" s="890"/>
      <c r="G61" s="891"/>
      <c r="H61" s="889"/>
      <c r="I61" s="890"/>
      <c r="J61" s="890"/>
      <c r="K61" s="890"/>
      <c r="L61" s="891"/>
    </row>
    <row r="62" spans="2:13" ht="15" customHeight="1" x14ac:dyDescent="0.25">
      <c r="B62" s="889"/>
      <c r="C62" s="890"/>
      <c r="D62" s="890"/>
      <c r="E62" s="890"/>
      <c r="F62" s="890"/>
      <c r="G62" s="891"/>
      <c r="H62" s="889"/>
      <c r="I62" s="890"/>
      <c r="J62" s="890"/>
      <c r="K62" s="890"/>
      <c r="L62" s="891"/>
    </row>
    <row r="63" spans="2:13" ht="15" customHeight="1" x14ac:dyDescent="0.25">
      <c r="B63" s="889"/>
      <c r="C63" s="890"/>
      <c r="D63" s="890"/>
      <c r="E63" s="890"/>
      <c r="F63" s="890"/>
      <c r="G63" s="891"/>
      <c r="H63" s="889"/>
      <c r="I63" s="890"/>
      <c r="J63" s="890"/>
      <c r="K63" s="890"/>
      <c r="L63" s="891"/>
    </row>
    <row r="64" spans="2:13" ht="15" customHeight="1" x14ac:dyDescent="0.25">
      <c r="B64" s="889"/>
      <c r="C64" s="890"/>
      <c r="D64" s="890"/>
      <c r="E64" s="890"/>
      <c r="F64" s="890"/>
      <c r="G64" s="891"/>
      <c r="H64" s="889"/>
      <c r="I64" s="890"/>
      <c r="J64" s="890"/>
      <c r="K64" s="890"/>
      <c r="L64" s="891"/>
    </row>
    <row r="65" spans="2:15" ht="15" customHeight="1" x14ac:dyDescent="0.25">
      <c r="B65" s="889"/>
      <c r="C65" s="890"/>
      <c r="D65" s="890"/>
      <c r="E65" s="890"/>
      <c r="F65" s="890"/>
      <c r="G65" s="891"/>
      <c r="H65" s="889"/>
      <c r="I65" s="890"/>
      <c r="J65" s="890"/>
      <c r="K65" s="890"/>
      <c r="L65" s="891"/>
    </row>
    <row r="66" spans="2:15" ht="15" customHeight="1" x14ac:dyDescent="0.25">
      <c r="B66" s="889"/>
      <c r="C66" s="890"/>
      <c r="D66" s="890"/>
      <c r="E66" s="890"/>
      <c r="F66" s="890"/>
      <c r="G66" s="891"/>
      <c r="H66" s="889"/>
      <c r="I66" s="890"/>
      <c r="J66" s="890"/>
      <c r="K66" s="890"/>
      <c r="L66" s="891"/>
      <c r="O66" s="111"/>
    </row>
    <row r="67" spans="2:15" ht="15" customHeight="1" x14ac:dyDescent="0.25">
      <c r="B67" s="889"/>
      <c r="C67" s="890"/>
      <c r="D67" s="890"/>
      <c r="E67" s="890"/>
      <c r="F67" s="890"/>
      <c r="G67" s="891"/>
      <c r="H67" s="889"/>
      <c r="I67" s="890"/>
      <c r="J67" s="890"/>
      <c r="K67" s="890"/>
      <c r="L67" s="891"/>
    </row>
    <row r="68" spans="2:15" ht="15" customHeight="1" x14ac:dyDescent="0.25">
      <c r="B68" s="889"/>
      <c r="C68" s="890"/>
      <c r="D68" s="890"/>
      <c r="E68" s="890"/>
      <c r="F68" s="890"/>
      <c r="G68" s="891"/>
      <c r="H68" s="889"/>
      <c r="I68" s="890"/>
      <c r="J68" s="890"/>
      <c r="K68" s="890"/>
      <c r="L68" s="891"/>
    </row>
    <row r="69" spans="2:15" ht="15.75" customHeight="1" thickBot="1" x14ac:dyDescent="0.3">
      <c r="B69" s="889"/>
      <c r="C69" s="890"/>
      <c r="D69" s="890"/>
      <c r="E69" s="890"/>
      <c r="F69" s="890"/>
      <c r="G69" s="891"/>
      <c r="H69" s="889"/>
      <c r="I69" s="890"/>
      <c r="J69" s="890"/>
      <c r="K69" s="890"/>
      <c r="L69" s="891"/>
    </row>
    <row r="70" spans="2:15" ht="23.25" customHeight="1" x14ac:dyDescent="0.25">
      <c r="B70" s="968" t="s">
        <v>1216</v>
      </c>
      <c r="C70" s="969"/>
      <c r="D70" s="969"/>
      <c r="E70" s="969"/>
      <c r="F70" s="969"/>
      <c r="G70" s="974"/>
      <c r="H70" s="947" t="s">
        <v>1217</v>
      </c>
      <c r="I70" s="948"/>
      <c r="J70" s="948"/>
      <c r="K70" s="948"/>
      <c r="L70" s="948"/>
      <c r="M70" s="972"/>
    </row>
    <row r="71" spans="2:15" ht="25.5" customHeight="1" thickBot="1" x14ac:dyDescent="0.3">
      <c r="B71" s="970"/>
      <c r="C71" s="971"/>
      <c r="D71" s="971"/>
      <c r="E71" s="971"/>
      <c r="F71" s="971"/>
      <c r="G71" s="975"/>
      <c r="H71" s="950"/>
      <c r="I71" s="951"/>
      <c r="J71" s="951"/>
      <c r="K71" s="951"/>
      <c r="L71" s="951"/>
      <c r="M71" s="973"/>
    </row>
    <row r="72" spans="2:15" ht="25.5" customHeight="1" thickBot="1" x14ac:dyDescent="0.3">
      <c r="B72" s="959" t="s">
        <v>511</v>
      </c>
      <c r="C72" s="960"/>
      <c r="D72" s="960"/>
      <c r="E72" s="960"/>
      <c r="F72" s="960"/>
      <c r="G72" s="960"/>
      <c r="H72" s="960"/>
      <c r="I72" s="960"/>
      <c r="J72" s="960"/>
      <c r="K72" s="960"/>
      <c r="L72" s="961"/>
    </row>
    <row r="73" spans="2:15" x14ac:dyDescent="0.25">
      <c r="B73" s="904" t="s">
        <v>503</v>
      </c>
      <c r="C73" s="905"/>
      <c r="D73" s="905"/>
      <c r="E73" s="905"/>
      <c r="F73" s="905"/>
      <c r="G73" s="906"/>
      <c r="H73" s="904" t="s">
        <v>504</v>
      </c>
      <c r="I73" s="905"/>
      <c r="J73" s="905"/>
      <c r="K73" s="905"/>
      <c r="L73" s="906"/>
    </row>
    <row r="74" spans="2:15" x14ac:dyDescent="0.25">
      <c r="B74" s="889"/>
      <c r="C74" s="890"/>
      <c r="D74" s="890"/>
      <c r="E74" s="890"/>
      <c r="F74" s="890"/>
      <c r="G74" s="891"/>
      <c r="H74" s="889"/>
      <c r="I74" s="890"/>
      <c r="J74" s="890"/>
      <c r="K74" s="890"/>
      <c r="L74" s="891"/>
    </row>
    <row r="75" spans="2:15" x14ac:dyDescent="0.25">
      <c r="B75" s="889"/>
      <c r="C75" s="890"/>
      <c r="D75" s="890"/>
      <c r="E75" s="890"/>
      <c r="F75" s="890"/>
      <c r="G75" s="891"/>
      <c r="H75" s="889"/>
      <c r="I75" s="890"/>
      <c r="J75" s="890"/>
      <c r="K75" s="890"/>
      <c r="L75" s="891"/>
    </row>
    <row r="76" spans="2:15" x14ac:dyDescent="0.25">
      <c r="B76" s="889"/>
      <c r="C76" s="890"/>
      <c r="D76" s="890"/>
      <c r="E76" s="890"/>
      <c r="F76" s="890"/>
      <c r="G76" s="891"/>
      <c r="H76" s="889"/>
      <c r="I76" s="890"/>
      <c r="J76" s="890"/>
      <c r="K76" s="890"/>
      <c r="L76" s="891"/>
    </row>
    <row r="77" spans="2:15" x14ac:dyDescent="0.25">
      <c r="B77" s="889"/>
      <c r="C77" s="890"/>
      <c r="D77" s="890"/>
      <c r="E77" s="890"/>
      <c r="F77" s="890"/>
      <c r="G77" s="891"/>
      <c r="H77" s="889"/>
      <c r="I77" s="890"/>
      <c r="J77" s="890"/>
      <c r="K77" s="890"/>
      <c r="L77" s="891"/>
    </row>
    <row r="78" spans="2:15" x14ac:dyDescent="0.25">
      <c r="B78" s="889"/>
      <c r="C78" s="890"/>
      <c r="D78" s="890"/>
      <c r="E78" s="890"/>
      <c r="F78" s="890"/>
      <c r="G78" s="891"/>
      <c r="H78" s="889"/>
      <c r="I78" s="890"/>
      <c r="J78" s="890"/>
      <c r="K78" s="890"/>
      <c r="L78" s="891"/>
    </row>
    <row r="79" spans="2:15" x14ac:dyDescent="0.25">
      <c r="B79" s="889"/>
      <c r="C79" s="890"/>
      <c r="D79" s="890"/>
      <c r="E79" s="890"/>
      <c r="F79" s="890"/>
      <c r="G79" s="891"/>
      <c r="H79" s="889"/>
      <c r="I79" s="890"/>
      <c r="J79" s="890"/>
      <c r="K79" s="890"/>
      <c r="L79" s="891"/>
    </row>
    <row r="80" spans="2:15" x14ac:dyDescent="0.25">
      <c r="B80" s="889"/>
      <c r="C80" s="890"/>
      <c r="D80" s="890"/>
      <c r="E80" s="890"/>
      <c r="F80" s="890"/>
      <c r="G80" s="891"/>
      <c r="H80" s="889"/>
      <c r="I80" s="890"/>
      <c r="J80" s="890"/>
      <c r="K80" s="890"/>
      <c r="L80" s="891"/>
    </row>
    <row r="81" spans="2:13" x14ac:dyDescent="0.25">
      <c r="B81" s="889"/>
      <c r="C81" s="890"/>
      <c r="D81" s="890"/>
      <c r="E81" s="890"/>
      <c r="F81" s="890"/>
      <c r="G81" s="891"/>
      <c r="H81" s="889"/>
      <c r="I81" s="890"/>
      <c r="J81" s="890"/>
      <c r="K81" s="890"/>
      <c r="L81" s="891"/>
    </row>
    <row r="82" spans="2:13" x14ac:dyDescent="0.25">
      <c r="B82" s="889"/>
      <c r="C82" s="890"/>
      <c r="D82" s="890"/>
      <c r="E82" s="890"/>
      <c r="F82" s="890"/>
      <c r="G82" s="891"/>
      <c r="H82" s="889"/>
      <c r="I82" s="890"/>
      <c r="J82" s="890"/>
      <c r="K82" s="890"/>
      <c r="L82" s="891"/>
    </row>
    <row r="83" spans="2:13" x14ac:dyDescent="0.25">
      <c r="B83" s="889"/>
      <c r="C83" s="890"/>
      <c r="D83" s="890"/>
      <c r="E83" s="890"/>
      <c r="F83" s="890"/>
      <c r="G83" s="891"/>
      <c r="H83" s="889"/>
      <c r="I83" s="890"/>
      <c r="J83" s="890"/>
      <c r="K83" s="890"/>
      <c r="L83" s="891"/>
    </row>
    <row r="84" spans="2:13" x14ac:dyDescent="0.25">
      <c r="B84" s="889"/>
      <c r="C84" s="890"/>
      <c r="D84" s="890"/>
      <c r="E84" s="890"/>
      <c r="F84" s="890"/>
      <c r="G84" s="891"/>
      <c r="H84" s="889"/>
      <c r="I84" s="890"/>
      <c r="J84" s="890"/>
      <c r="K84" s="890"/>
      <c r="L84" s="891"/>
    </row>
    <row r="85" spans="2:13" x14ac:dyDescent="0.25">
      <c r="B85" s="889"/>
      <c r="C85" s="890"/>
      <c r="D85" s="890"/>
      <c r="E85" s="890"/>
      <c r="F85" s="890"/>
      <c r="G85" s="891"/>
      <c r="H85" s="889"/>
      <c r="I85" s="890"/>
      <c r="J85" s="890"/>
      <c r="K85" s="890"/>
      <c r="L85" s="891"/>
    </row>
    <row r="86" spans="2:13" x14ac:dyDescent="0.25">
      <c r="B86" s="889"/>
      <c r="C86" s="890"/>
      <c r="D86" s="890"/>
      <c r="E86" s="890"/>
      <c r="F86" s="890"/>
      <c r="G86" s="891"/>
      <c r="H86" s="889"/>
      <c r="I86" s="890"/>
      <c r="J86" s="890"/>
      <c r="K86" s="890"/>
      <c r="L86" s="891"/>
    </row>
    <row r="87" spans="2:13" ht="27" customHeight="1" x14ac:dyDescent="0.25">
      <c r="B87" s="953" t="s">
        <v>1218</v>
      </c>
      <c r="C87" s="954"/>
      <c r="D87" s="954"/>
      <c r="E87" s="954"/>
      <c r="F87" s="954"/>
      <c r="G87" s="955"/>
      <c r="H87" s="953" t="s">
        <v>1219</v>
      </c>
      <c r="I87" s="954"/>
      <c r="J87" s="954"/>
      <c r="K87" s="954"/>
      <c r="L87" s="954"/>
      <c r="M87" s="955"/>
    </row>
    <row r="88" spans="2:13" ht="27" customHeight="1" thickBot="1" x14ac:dyDescent="0.3">
      <c r="B88" s="956"/>
      <c r="C88" s="957"/>
      <c r="D88" s="957"/>
      <c r="E88" s="957"/>
      <c r="F88" s="957"/>
      <c r="G88" s="958"/>
      <c r="H88" s="956"/>
      <c r="I88" s="957"/>
      <c r="J88" s="957"/>
      <c r="K88" s="957"/>
      <c r="L88" s="957"/>
      <c r="M88" s="958"/>
    </row>
    <row r="89" spans="2:13" x14ac:dyDescent="0.25">
      <c r="B89" s="904"/>
      <c r="C89" s="905"/>
      <c r="D89" s="905"/>
      <c r="E89" s="905"/>
      <c r="F89" s="905"/>
      <c r="G89" s="906"/>
      <c r="H89" s="904"/>
      <c r="I89" s="905"/>
      <c r="J89" s="905"/>
      <c r="K89" s="905"/>
      <c r="L89" s="906"/>
    </row>
    <row r="90" spans="2:13" x14ac:dyDescent="0.25">
      <c r="B90" s="889"/>
      <c r="C90" s="890"/>
      <c r="D90" s="890"/>
      <c r="E90" s="890"/>
      <c r="F90" s="890"/>
      <c r="G90" s="891"/>
      <c r="H90" s="889"/>
      <c r="I90" s="890"/>
      <c r="J90" s="890"/>
      <c r="K90" s="890"/>
      <c r="L90" s="891"/>
    </row>
    <row r="91" spans="2:13" x14ac:dyDescent="0.25">
      <c r="B91" s="889"/>
      <c r="C91" s="890"/>
      <c r="D91" s="890"/>
      <c r="E91" s="890"/>
      <c r="F91" s="890"/>
      <c r="G91" s="891"/>
      <c r="H91" s="889"/>
      <c r="I91" s="890"/>
      <c r="J91" s="890"/>
      <c r="K91" s="890"/>
      <c r="L91" s="891"/>
    </row>
    <row r="92" spans="2:13" x14ac:dyDescent="0.25">
      <c r="B92" s="889"/>
      <c r="C92" s="890"/>
      <c r="D92" s="890"/>
      <c r="E92" s="890"/>
      <c r="F92" s="890"/>
      <c r="G92" s="891"/>
      <c r="H92" s="889"/>
      <c r="I92" s="890"/>
      <c r="J92" s="890"/>
      <c r="K92" s="890"/>
      <c r="L92" s="891"/>
    </row>
    <row r="93" spans="2:13" x14ac:dyDescent="0.25">
      <c r="B93" s="889"/>
      <c r="C93" s="890"/>
      <c r="D93" s="890"/>
      <c r="E93" s="890"/>
      <c r="F93" s="890"/>
      <c r="G93" s="891"/>
      <c r="H93" s="889"/>
      <c r="I93" s="890"/>
      <c r="J93" s="890"/>
      <c r="K93" s="890"/>
      <c r="L93" s="891"/>
    </row>
    <row r="94" spans="2:13" x14ac:dyDescent="0.25">
      <c r="B94" s="889"/>
      <c r="C94" s="890"/>
      <c r="D94" s="890"/>
      <c r="E94" s="890"/>
      <c r="F94" s="890"/>
      <c r="G94" s="891"/>
      <c r="H94" s="889"/>
      <c r="I94" s="890"/>
      <c r="J94" s="890"/>
      <c r="K94" s="890"/>
      <c r="L94" s="891"/>
    </row>
    <row r="95" spans="2:13" x14ac:dyDescent="0.25">
      <c r="B95" s="889"/>
      <c r="C95" s="890"/>
      <c r="D95" s="890"/>
      <c r="E95" s="890"/>
      <c r="F95" s="890"/>
      <c r="G95" s="891"/>
      <c r="H95" s="889"/>
      <c r="I95" s="890"/>
      <c r="J95" s="890"/>
      <c r="K95" s="890"/>
      <c r="L95" s="891"/>
    </row>
    <row r="96" spans="2:13" x14ac:dyDescent="0.25">
      <c r="B96" s="889"/>
      <c r="C96" s="890"/>
      <c r="D96" s="890"/>
      <c r="E96" s="890"/>
      <c r="F96" s="890"/>
      <c r="G96" s="891"/>
      <c r="H96" s="889"/>
      <c r="I96" s="890"/>
      <c r="J96" s="890"/>
      <c r="K96" s="890"/>
      <c r="L96" s="891"/>
    </row>
    <row r="97" spans="2:12" x14ac:dyDescent="0.25">
      <c r="B97" s="889"/>
      <c r="C97" s="890"/>
      <c r="D97" s="890"/>
      <c r="E97" s="890"/>
      <c r="F97" s="890"/>
      <c r="G97" s="891"/>
      <c r="H97" s="889"/>
      <c r="I97" s="890"/>
      <c r="J97" s="890"/>
      <c r="K97" s="890"/>
      <c r="L97" s="891"/>
    </row>
    <row r="98" spans="2:12" x14ac:dyDescent="0.25">
      <c r="B98" s="889"/>
      <c r="C98" s="890"/>
      <c r="D98" s="890"/>
      <c r="E98" s="890"/>
      <c r="F98" s="890"/>
      <c r="G98" s="891"/>
      <c r="H98" s="889"/>
      <c r="I98" s="890"/>
      <c r="J98" s="890"/>
      <c r="K98" s="890"/>
      <c r="L98" s="891"/>
    </row>
    <row r="99" spans="2:12" x14ac:dyDescent="0.25">
      <c r="B99" s="889"/>
      <c r="C99" s="890"/>
      <c r="D99" s="890"/>
      <c r="E99" s="890"/>
      <c r="F99" s="890"/>
      <c r="G99" s="891"/>
      <c r="H99" s="889"/>
      <c r="I99" s="890"/>
      <c r="J99" s="890"/>
      <c r="K99" s="890"/>
      <c r="L99" s="891"/>
    </row>
    <row r="100" spans="2:12" x14ac:dyDescent="0.25">
      <c r="B100" s="889"/>
      <c r="C100" s="890"/>
      <c r="D100" s="890"/>
      <c r="E100" s="890"/>
      <c r="F100" s="890"/>
      <c r="G100" s="891"/>
      <c r="H100" s="889"/>
      <c r="I100" s="890"/>
      <c r="J100" s="890"/>
      <c r="K100" s="890"/>
      <c r="L100" s="891"/>
    </row>
    <row r="101" spans="2:12" x14ac:dyDescent="0.25">
      <c r="B101" s="889"/>
      <c r="C101" s="890"/>
      <c r="D101" s="890"/>
      <c r="E101" s="890"/>
      <c r="F101" s="890"/>
      <c r="G101" s="891"/>
      <c r="H101" s="889"/>
      <c r="I101" s="890"/>
      <c r="J101" s="890"/>
      <c r="K101" s="890"/>
      <c r="L101" s="891"/>
    </row>
    <row r="102" spans="2:12" ht="15.75" thickBot="1" x14ac:dyDescent="0.3">
      <c r="B102" s="889"/>
      <c r="C102" s="890"/>
      <c r="D102" s="890"/>
      <c r="E102" s="890"/>
      <c r="F102" s="890"/>
      <c r="G102" s="891"/>
      <c r="H102" s="889"/>
      <c r="I102" s="890"/>
      <c r="J102" s="890"/>
      <c r="K102" s="890"/>
      <c r="L102" s="891"/>
    </row>
    <row r="103" spans="2:12" ht="15.75" customHeight="1" x14ac:dyDescent="0.25">
      <c r="B103" s="947" t="s">
        <v>1220</v>
      </c>
      <c r="C103" s="948"/>
      <c r="D103" s="948"/>
      <c r="E103" s="948"/>
      <c r="F103" s="948"/>
      <c r="G103" s="949"/>
      <c r="H103" s="947" t="s">
        <v>1221</v>
      </c>
      <c r="I103" s="948"/>
      <c r="J103" s="948"/>
      <c r="K103" s="948"/>
      <c r="L103" s="948"/>
    </row>
    <row r="104" spans="2:12" ht="31.5" customHeight="1" thickBot="1" x14ac:dyDescent="0.3">
      <c r="B104" s="950"/>
      <c r="C104" s="951"/>
      <c r="D104" s="951"/>
      <c r="E104" s="951"/>
      <c r="F104" s="951"/>
      <c r="G104" s="952"/>
      <c r="H104" s="950"/>
      <c r="I104" s="951"/>
      <c r="J104" s="951"/>
      <c r="K104" s="951"/>
      <c r="L104" s="951"/>
    </row>
  </sheetData>
  <mergeCells count="38">
    <mergeCell ref="B1:L2"/>
    <mergeCell ref="B3:E3"/>
    <mergeCell ref="G3:I3"/>
    <mergeCell ref="J3:L3"/>
    <mergeCell ref="B4:H5"/>
    <mergeCell ref="K4:L4"/>
    <mergeCell ref="K5:L5"/>
    <mergeCell ref="M37:M38"/>
    <mergeCell ref="B39:L39"/>
    <mergeCell ref="B6:L6"/>
    <mergeCell ref="B7:G20"/>
    <mergeCell ref="H7:L20"/>
    <mergeCell ref="B21:G22"/>
    <mergeCell ref="H21:L22"/>
    <mergeCell ref="M21:M22"/>
    <mergeCell ref="B23:G36"/>
    <mergeCell ref="H23:L36"/>
    <mergeCell ref="B37:G38"/>
    <mergeCell ref="H37:L38"/>
    <mergeCell ref="B40:G53"/>
    <mergeCell ref="H40:L53"/>
    <mergeCell ref="M54:M55"/>
    <mergeCell ref="B70:G71"/>
    <mergeCell ref="H70:L71"/>
    <mergeCell ref="M70:M71"/>
    <mergeCell ref="B72:L72"/>
    <mergeCell ref="B56:G69"/>
    <mergeCell ref="H56:L69"/>
    <mergeCell ref="B54:G55"/>
    <mergeCell ref="H54:L55"/>
    <mergeCell ref="B103:G104"/>
    <mergeCell ref="H103:L104"/>
    <mergeCell ref="B73:G86"/>
    <mergeCell ref="H73:L86"/>
    <mergeCell ref="B87:G88"/>
    <mergeCell ref="H87:M88"/>
    <mergeCell ref="B89:G102"/>
    <mergeCell ref="H89:L102"/>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O197"/>
  <sheetViews>
    <sheetView view="pageBreakPreview" zoomScale="85" zoomScaleNormal="100" zoomScaleSheetLayoutView="85" zoomScalePageLayoutView="110" workbookViewId="0">
      <selection activeCell="O20" sqref="O20"/>
    </sheetView>
  </sheetViews>
  <sheetFormatPr baseColWidth="10" defaultColWidth="12" defaultRowHeight="15" x14ac:dyDescent="0.25"/>
  <cols>
    <col min="1" max="1" width="3.85546875" style="130" customWidth="1"/>
    <col min="2" max="2" width="4.85546875" style="130" customWidth="1"/>
    <col min="3" max="3" width="8.7109375" style="130" customWidth="1"/>
    <col min="4" max="4" width="8.42578125" style="130" customWidth="1"/>
    <col min="5" max="5" width="12" style="130"/>
    <col min="6" max="6" width="17.5703125" style="130" customWidth="1"/>
    <col min="7" max="7" width="10" style="130" customWidth="1"/>
    <col min="8" max="8" width="5.7109375" style="130" customWidth="1"/>
    <col min="9" max="9" width="23.5703125" style="130" customWidth="1"/>
    <col min="10" max="10" width="13.7109375" style="130" customWidth="1"/>
    <col min="11" max="11" width="14.140625" style="130" customWidth="1"/>
    <col min="12" max="12" width="3.5703125" style="130" customWidth="1"/>
    <col min="13" max="13" width="12.28515625" style="130" hidden="1" customWidth="1"/>
    <col min="14" max="16384" width="12" style="130"/>
  </cols>
  <sheetData>
    <row r="1" spans="2:12" ht="27.75" customHeight="1" x14ac:dyDescent="0.25">
      <c r="B1" s="981" t="s">
        <v>251</v>
      </c>
      <c r="C1" s="874"/>
      <c r="D1" s="874"/>
      <c r="E1" s="874"/>
      <c r="F1" s="874"/>
      <c r="G1" s="874"/>
      <c r="H1" s="874"/>
      <c r="I1" s="874"/>
      <c r="J1" s="874"/>
      <c r="K1" s="874"/>
      <c r="L1" s="929"/>
    </row>
    <row r="2" spans="2:12" ht="11.25" customHeight="1" x14ac:dyDescent="0.25">
      <c r="B2" s="982"/>
      <c r="C2" s="875"/>
      <c r="D2" s="875"/>
      <c r="E2" s="875"/>
      <c r="F2" s="875"/>
      <c r="G2" s="875"/>
      <c r="H2" s="875"/>
      <c r="I2" s="875"/>
      <c r="J2" s="875"/>
      <c r="K2" s="875"/>
      <c r="L2" s="931"/>
    </row>
    <row r="3" spans="2:12" ht="24.95" customHeight="1" thickBot="1" x14ac:dyDescent="0.3">
      <c r="B3" s="1013" t="s">
        <v>289</v>
      </c>
      <c r="C3" s="1014"/>
      <c r="D3" s="1014"/>
      <c r="E3" s="1015"/>
      <c r="F3" s="126">
        <v>44245</v>
      </c>
      <c r="G3" s="1013" t="s">
        <v>290</v>
      </c>
      <c r="H3" s="1014"/>
      <c r="I3" s="933"/>
      <c r="J3" s="1016">
        <v>44251</v>
      </c>
      <c r="K3" s="1017"/>
      <c r="L3" s="1018"/>
    </row>
    <row r="4" spans="2:12" ht="24.95" customHeight="1" x14ac:dyDescent="0.25">
      <c r="B4" s="1019" t="s">
        <v>250</v>
      </c>
      <c r="C4" s="1020"/>
      <c r="D4" s="1020"/>
      <c r="E4" s="1020"/>
      <c r="F4" s="1020"/>
      <c r="G4" s="1020"/>
      <c r="H4" s="1021"/>
      <c r="I4" s="131" t="s">
        <v>489</v>
      </c>
      <c r="J4" s="355" t="s">
        <v>2</v>
      </c>
      <c r="K4" s="887" t="s">
        <v>0</v>
      </c>
      <c r="L4" s="940"/>
    </row>
    <row r="5" spans="2:12" ht="24.95" customHeight="1" thickBot="1" x14ac:dyDescent="0.3">
      <c r="B5" s="1022"/>
      <c r="C5" s="1023"/>
      <c r="D5" s="1023"/>
      <c r="E5" s="1023"/>
      <c r="F5" s="1023"/>
      <c r="G5" s="1023"/>
      <c r="H5" s="1024"/>
      <c r="I5" s="132" t="s">
        <v>490</v>
      </c>
      <c r="J5" s="133">
        <v>2</v>
      </c>
      <c r="K5" s="989" t="s">
        <v>291</v>
      </c>
      <c r="L5" s="990"/>
    </row>
    <row r="6" spans="2:12" ht="15.75" customHeight="1" x14ac:dyDescent="0.25">
      <c r="B6" s="889" t="s">
        <v>452</v>
      </c>
      <c r="C6" s="890"/>
      <c r="D6" s="890"/>
      <c r="E6" s="890"/>
      <c r="F6" s="890"/>
      <c r="G6" s="891"/>
      <c r="H6" s="904" t="s">
        <v>453</v>
      </c>
      <c r="I6" s="905"/>
      <c r="J6" s="905"/>
      <c r="K6" s="905"/>
      <c r="L6" s="906"/>
    </row>
    <row r="7" spans="2:12" x14ac:dyDescent="0.25">
      <c r="B7" s="889"/>
      <c r="C7" s="890"/>
      <c r="D7" s="890"/>
      <c r="E7" s="890"/>
      <c r="F7" s="890"/>
      <c r="G7" s="891"/>
      <c r="H7" s="889"/>
      <c r="I7" s="890"/>
      <c r="J7" s="890"/>
      <c r="K7" s="890"/>
      <c r="L7" s="891"/>
    </row>
    <row r="8" spans="2:12" x14ac:dyDescent="0.25">
      <c r="B8" s="889"/>
      <c r="C8" s="890"/>
      <c r="D8" s="890"/>
      <c r="E8" s="890"/>
      <c r="F8" s="890"/>
      <c r="G8" s="891"/>
      <c r="H8" s="889"/>
      <c r="I8" s="890"/>
      <c r="J8" s="890"/>
      <c r="K8" s="890"/>
      <c r="L8" s="891"/>
    </row>
    <row r="9" spans="2:12" x14ac:dyDescent="0.25">
      <c r="B9" s="889"/>
      <c r="C9" s="890"/>
      <c r="D9" s="890"/>
      <c r="E9" s="890"/>
      <c r="F9" s="890"/>
      <c r="G9" s="891"/>
      <c r="H9" s="889"/>
      <c r="I9" s="890"/>
      <c r="J9" s="890"/>
      <c r="K9" s="890"/>
      <c r="L9" s="891"/>
    </row>
    <row r="10" spans="2:12" x14ac:dyDescent="0.25">
      <c r="B10" s="889"/>
      <c r="C10" s="890"/>
      <c r="D10" s="890"/>
      <c r="E10" s="890"/>
      <c r="F10" s="890"/>
      <c r="G10" s="891"/>
      <c r="H10" s="889"/>
      <c r="I10" s="890"/>
      <c r="J10" s="890"/>
      <c r="K10" s="890"/>
      <c r="L10" s="891"/>
    </row>
    <row r="11" spans="2:12" x14ac:dyDescent="0.25">
      <c r="B11" s="889"/>
      <c r="C11" s="890"/>
      <c r="D11" s="890"/>
      <c r="E11" s="890"/>
      <c r="F11" s="890"/>
      <c r="G11" s="891"/>
      <c r="H11" s="889"/>
      <c r="I11" s="890"/>
      <c r="J11" s="890"/>
      <c r="K11" s="890"/>
      <c r="L11" s="891"/>
    </row>
    <row r="12" spans="2:12" x14ac:dyDescent="0.25">
      <c r="B12" s="889"/>
      <c r="C12" s="890"/>
      <c r="D12" s="890"/>
      <c r="E12" s="890"/>
      <c r="F12" s="890"/>
      <c r="G12" s="891"/>
      <c r="H12" s="889"/>
      <c r="I12" s="890"/>
      <c r="J12" s="890"/>
      <c r="K12" s="890"/>
      <c r="L12" s="891"/>
    </row>
    <row r="13" spans="2:12" x14ac:dyDescent="0.25">
      <c r="B13" s="889"/>
      <c r="C13" s="890"/>
      <c r="D13" s="890"/>
      <c r="E13" s="890"/>
      <c r="F13" s="890"/>
      <c r="G13" s="891"/>
      <c r="H13" s="889"/>
      <c r="I13" s="890"/>
      <c r="J13" s="890"/>
      <c r="K13" s="890"/>
      <c r="L13" s="891"/>
    </row>
    <row r="14" spans="2:12" x14ac:dyDescent="0.25">
      <c r="B14" s="889"/>
      <c r="C14" s="890"/>
      <c r="D14" s="890"/>
      <c r="E14" s="890"/>
      <c r="F14" s="890"/>
      <c r="G14" s="891"/>
      <c r="H14" s="889"/>
      <c r="I14" s="890"/>
      <c r="J14" s="890"/>
      <c r="K14" s="890"/>
      <c r="L14" s="891"/>
    </row>
    <row r="15" spans="2:12" x14ac:dyDescent="0.25">
      <c r="B15" s="889"/>
      <c r="C15" s="890"/>
      <c r="D15" s="890"/>
      <c r="E15" s="890"/>
      <c r="F15" s="890"/>
      <c r="G15" s="891"/>
      <c r="H15" s="889"/>
      <c r="I15" s="890"/>
      <c r="J15" s="890"/>
      <c r="K15" s="890"/>
      <c r="L15" s="891"/>
    </row>
    <row r="16" spans="2:12" x14ac:dyDescent="0.25">
      <c r="B16" s="889"/>
      <c r="C16" s="890"/>
      <c r="D16" s="890"/>
      <c r="E16" s="890"/>
      <c r="F16" s="890"/>
      <c r="G16" s="891"/>
      <c r="H16" s="889"/>
      <c r="I16" s="890"/>
      <c r="J16" s="890"/>
      <c r="K16" s="890"/>
      <c r="L16" s="891"/>
    </row>
    <row r="17" spans="2:13" x14ac:dyDescent="0.25">
      <c r="B17" s="889"/>
      <c r="C17" s="890"/>
      <c r="D17" s="890"/>
      <c r="E17" s="890"/>
      <c r="F17" s="890"/>
      <c r="G17" s="891"/>
      <c r="H17" s="889"/>
      <c r="I17" s="890"/>
      <c r="J17" s="890"/>
      <c r="K17" s="890"/>
      <c r="L17" s="891"/>
    </row>
    <row r="18" spans="2:13" x14ac:dyDescent="0.25">
      <c r="B18" s="889"/>
      <c r="C18" s="890"/>
      <c r="D18" s="890"/>
      <c r="E18" s="890"/>
      <c r="F18" s="890"/>
      <c r="G18" s="891"/>
      <c r="H18" s="889"/>
      <c r="I18" s="890"/>
      <c r="J18" s="890"/>
      <c r="K18" s="890"/>
      <c r="L18" s="891"/>
    </row>
    <row r="19" spans="2:13" ht="15.75" thickBot="1" x14ac:dyDescent="0.3">
      <c r="B19" s="920"/>
      <c r="C19" s="921"/>
      <c r="D19" s="921"/>
      <c r="E19" s="921"/>
      <c r="F19" s="921"/>
      <c r="G19" s="922"/>
      <c r="H19" s="920"/>
      <c r="I19" s="921"/>
      <c r="J19" s="921"/>
      <c r="K19" s="921"/>
      <c r="L19" s="922"/>
    </row>
    <row r="20" spans="2:13" ht="25.5" customHeight="1" x14ac:dyDescent="0.25">
      <c r="B20" s="1002" t="s">
        <v>1297</v>
      </c>
      <c r="C20" s="1003"/>
      <c r="D20" s="1003"/>
      <c r="E20" s="1003"/>
      <c r="F20" s="1003"/>
      <c r="G20" s="1004"/>
      <c r="H20" s="1010" t="s">
        <v>1298</v>
      </c>
      <c r="I20" s="1011"/>
      <c r="J20" s="1011"/>
      <c r="K20" s="1011"/>
      <c r="L20" s="1011"/>
      <c r="M20" s="1012"/>
    </row>
    <row r="21" spans="2:13" ht="23.25" customHeight="1" thickBot="1" x14ac:dyDescent="0.3">
      <c r="B21" s="1005"/>
      <c r="C21" s="1006"/>
      <c r="D21" s="1006"/>
      <c r="E21" s="1006"/>
      <c r="F21" s="1006"/>
      <c r="G21" s="1007"/>
      <c r="H21" s="1010"/>
      <c r="I21" s="1011"/>
      <c r="J21" s="1011"/>
      <c r="K21" s="1011"/>
      <c r="L21" s="1011"/>
      <c r="M21" s="1012"/>
    </row>
    <row r="22" spans="2:13" ht="15.75" customHeight="1" x14ac:dyDescent="0.25">
      <c r="B22" s="889" t="s">
        <v>452</v>
      </c>
      <c r="C22" s="890"/>
      <c r="D22" s="890"/>
      <c r="E22" s="890"/>
      <c r="F22" s="890"/>
      <c r="G22" s="891"/>
      <c r="H22" s="904" t="s">
        <v>453</v>
      </c>
      <c r="I22" s="905"/>
      <c r="J22" s="905"/>
      <c r="K22" s="905"/>
      <c r="L22" s="906"/>
    </row>
    <row r="23" spans="2:13" x14ac:dyDescent="0.25">
      <c r="B23" s="889"/>
      <c r="C23" s="890"/>
      <c r="D23" s="890"/>
      <c r="E23" s="890"/>
      <c r="F23" s="890"/>
      <c r="G23" s="891"/>
      <c r="H23" s="889"/>
      <c r="I23" s="890"/>
      <c r="J23" s="890"/>
      <c r="K23" s="890"/>
      <c r="L23" s="891"/>
    </row>
    <row r="24" spans="2:13" x14ac:dyDescent="0.25">
      <c r="B24" s="889"/>
      <c r="C24" s="890"/>
      <c r="D24" s="890"/>
      <c r="E24" s="890"/>
      <c r="F24" s="890"/>
      <c r="G24" s="891"/>
      <c r="H24" s="889"/>
      <c r="I24" s="890"/>
      <c r="J24" s="890"/>
      <c r="K24" s="890"/>
      <c r="L24" s="891"/>
    </row>
    <row r="25" spans="2:13" x14ac:dyDescent="0.25">
      <c r="B25" s="889"/>
      <c r="C25" s="890"/>
      <c r="D25" s="890"/>
      <c r="E25" s="890"/>
      <c r="F25" s="890"/>
      <c r="G25" s="891"/>
      <c r="H25" s="889"/>
      <c r="I25" s="890"/>
      <c r="J25" s="890"/>
      <c r="K25" s="890"/>
      <c r="L25" s="891"/>
    </row>
    <row r="26" spans="2:13" x14ac:dyDescent="0.25">
      <c r="B26" s="889"/>
      <c r="C26" s="890"/>
      <c r="D26" s="890"/>
      <c r="E26" s="890"/>
      <c r="F26" s="890"/>
      <c r="G26" s="891"/>
      <c r="H26" s="889"/>
      <c r="I26" s="890"/>
      <c r="J26" s="890"/>
      <c r="K26" s="890"/>
      <c r="L26" s="891"/>
    </row>
    <row r="27" spans="2:13" x14ac:dyDescent="0.25">
      <c r="B27" s="889"/>
      <c r="C27" s="890"/>
      <c r="D27" s="890"/>
      <c r="E27" s="890"/>
      <c r="F27" s="890"/>
      <c r="G27" s="891"/>
      <c r="H27" s="889"/>
      <c r="I27" s="890"/>
      <c r="J27" s="890"/>
      <c r="K27" s="890"/>
      <c r="L27" s="891"/>
    </row>
    <row r="28" spans="2:13" x14ac:dyDescent="0.25">
      <c r="B28" s="889"/>
      <c r="C28" s="890"/>
      <c r="D28" s="890"/>
      <c r="E28" s="890"/>
      <c r="F28" s="890"/>
      <c r="G28" s="891"/>
      <c r="H28" s="889"/>
      <c r="I28" s="890"/>
      <c r="J28" s="890"/>
      <c r="K28" s="890"/>
      <c r="L28" s="891"/>
    </row>
    <row r="29" spans="2:13" x14ac:dyDescent="0.25">
      <c r="B29" s="889"/>
      <c r="C29" s="890"/>
      <c r="D29" s="890"/>
      <c r="E29" s="890"/>
      <c r="F29" s="890"/>
      <c r="G29" s="891"/>
      <c r="H29" s="889"/>
      <c r="I29" s="890"/>
      <c r="J29" s="890"/>
      <c r="K29" s="890"/>
      <c r="L29" s="891"/>
    </row>
    <row r="30" spans="2:13" x14ac:dyDescent="0.25">
      <c r="B30" s="889"/>
      <c r="C30" s="890"/>
      <c r="D30" s="890"/>
      <c r="E30" s="890"/>
      <c r="F30" s="890"/>
      <c r="G30" s="891"/>
      <c r="H30" s="889"/>
      <c r="I30" s="890"/>
      <c r="J30" s="890"/>
      <c r="K30" s="890"/>
      <c r="L30" s="891"/>
    </row>
    <row r="31" spans="2:13" x14ac:dyDescent="0.25">
      <c r="B31" s="889"/>
      <c r="C31" s="890"/>
      <c r="D31" s="890"/>
      <c r="E31" s="890"/>
      <c r="F31" s="890"/>
      <c r="G31" s="891"/>
      <c r="H31" s="889"/>
      <c r="I31" s="890"/>
      <c r="J31" s="890"/>
      <c r="K31" s="890"/>
      <c r="L31" s="891"/>
    </row>
    <row r="32" spans="2:13" x14ac:dyDescent="0.25">
      <c r="B32" s="889"/>
      <c r="C32" s="890"/>
      <c r="D32" s="890"/>
      <c r="E32" s="890"/>
      <c r="F32" s="890"/>
      <c r="G32" s="891"/>
      <c r="H32" s="889"/>
      <c r="I32" s="890"/>
      <c r="J32" s="890"/>
      <c r="K32" s="890"/>
      <c r="L32" s="891"/>
    </row>
    <row r="33" spans="2:15" x14ac:dyDescent="0.25">
      <c r="B33" s="889"/>
      <c r="C33" s="890"/>
      <c r="D33" s="890"/>
      <c r="E33" s="890"/>
      <c r="F33" s="890"/>
      <c r="G33" s="891"/>
      <c r="H33" s="889"/>
      <c r="I33" s="890"/>
      <c r="J33" s="890"/>
      <c r="K33" s="890"/>
      <c r="L33" s="891"/>
    </row>
    <row r="34" spans="2:15" x14ac:dyDescent="0.25">
      <c r="B34" s="889"/>
      <c r="C34" s="890"/>
      <c r="D34" s="890"/>
      <c r="E34" s="890"/>
      <c r="F34" s="890"/>
      <c r="G34" s="891"/>
      <c r="H34" s="889"/>
      <c r="I34" s="890"/>
      <c r="J34" s="890"/>
      <c r="K34" s="890"/>
      <c r="L34" s="891"/>
      <c r="O34" s="134"/>
    </row>
    <row r="35" spans="2:15" ht="15.75" thickBot="1" x14ac:dyDescent="0.3">
      <c r="B35" s="920"/>
      <c r="C35" s="921"/>
      <c r="D35" s="921"/>
      <c r="E35" s="921"/>
      <c r="F35" s="921"/>
      <c r="G35" s="922"/>
      <c r="H35" s="920"/>
      <c r="I35" s="921"/>
      <c r="J35" s="921"/>
      <c r="K35" s="921"/>
      <c r="L35" s="922"/>
    </row>
    <row r="36" spans="2:15" ht="25.5" customHeight="1" x14ac:dyDescent="0.25">
      <c r="B36" s="1002" t="s">
        <v>1298</v>
      </c>
      <c r="C36" s="1003"/>
      <c r="D36" s="1003"/>
      <c r="E36" s="1003"/>
      <c r="F36" s="1003"/>
      <c r="G36" s="1004"/>
      <c r="H36" s="1008" t="s">
        <v>1299</v>
      </c>
      <c r="I36" s="1009"/>
      <c r="J36" s="1009"/>
      <c r="K36" s="1009"/>
      <c r="L36" s="1009"/>
      <c r="M36" s="998"/>
    </row>
    <row r="37" spans="2:15" ht="23.25" customHeight="1" thickBot="1" x14ac:dyDescent="0.3">
      <c r="B37" s="1005"/>
      <c r="C37" s="1006"/>
      <c r="D37" s="1006"/>
      <c r="E37" s="1006"/>
      <c r="F37" s="1006"/>
      <c r="G37" s="1007"/>
      <c r="H37" s="997"/>
      <c r="I37" s="998"/>
      <c r="J37" s="998"/>
      <c r="K37" s="998"/>
      <c r="L37" s="998"/>
      <c r="M37" s="998"/>
    </row>
    <row r="38" spans="2:15" ht="15.75" customHeight="1" x14ac:dyDescent="0.25">
      <c r="B38" s="889" t="s">
        <v>452</v>
      </c>
      <c r="C38" s="890"/>
      <c r="D38" s="890"/>
      <c r="E38" s="890"/>
      <c r="F38" s="890"/>
      <c r="G38" s="891"/>
      <c r="H38" s="904" t="s">
        <v>453</v>
      </c>
      <c r="I38" s="905"/>
      <c r="J38" s="905"/>
      <c r="K38" s="905"/>
      <c r="L38" s="906"/>
    </row>
    <row r="39" spans="2:15" x14ac:dyDescent="0.25">
      <c r="B39" s="889"/>
      <c r="C39" s="890"/>
      <c r="D39" s="890"/>
      <c r="E39" s="890"/>
      <c r="F39" s="890"/>
      <c r="G39" s="891"/>
      <c r="H39" s="889"/>
      <c r="I39" s="890"/>
      <c r="J39" s="890"/>
      <c r="K39" s="890"/>
      <c r="L39" s="891"/>
    </row>
    <row r="40" spans="2:15" x14ac:dyDescent="0.25">
      <c r="B40" s="889"/>
      <c r="C40" s="890"/>
      <c r="D40" s="890"/>
      <c r="E40" s="890"/>
      <c r="F40" s="890"/>
      <c r="G40" s="891"/>
      <c r="H40" s="889"/>
      <c r="I40" s="890"/>
      <c r="J40" s="890"/>
      <c r="K40" s="890"/>
      <c r="L40" s="891"/>
    </row>
    <row r="41" spans="2:15" x14ac:dyDescent="0.25">
      <c r="B41" s="889"/>
      <c r="C41" s="890"/>
      <c r="D41" s="890"/>
      <c r="E41" s="890"/>
      <c r="F41" s="890"/>
      <c r="G41" s="891"/>
      <c r="H41" s="889"/>
      <c r="I41" s="890"/>
      <c r="J41" s="890"/>
      <c r="K41" s="890"/>
      <c r="L41" s="891"/>
    </row>
    <row r="42" spans="2:15" x14ac:dyDescent="0.25">
      <c r="B42" s="889"/>
      <c r="C42" s="890"/>
      <c r="D42" s="890"/>
      <c r="E42" s="890"/>
      <c r="F42" s="890"/>
      <c r="G42" s="891"/>
      <c r="H42" s="889"/>
      <c r="I42" s="890"/>
      <c r="J42" s="890"/>
      <c r="K42" s="890"/>
      <c r="L42" s="891"/>
    </row>
    <row r="43" spans="2:15" x14ac:dyDescent="0.25">
      <c r="B43" s="889"/>
      <c r="C43" s="890"/>
      <c r="D43" s="890"/>
      <c r="E43" s="890"/>
      <c r="F43" s="890"/>
      <c r="G43" s="891"/>
      <c r="H43" s="889"/>
      <c r="I43" s="890"/>
      <c r="J43" s="890"/>
      <c r="K43" s="890"/>
      <c r="L43" s="891"/>
    </row>
    <row r="44" spans="2:15" x14ac:dyDescent="0.25">
      <c r="B44" s="889"/>
      <c r="C44" s="890"/>
      <c r="D44" s="890"/>
      <c r="E44" s="890"/>
      <c r="F44" s="890"/>
      <c r="G44" s="891"/>
      <c r="H44" s="889"/>
      <c r="I44" s="890"/>
      <c r="J44" s="890"/>
      <c r="K44" s="890"/>
      <c r="L44" s="891"/>
    </row>
    <row r="45" spans="2:15" x14ac:dyDescent="0.25">
      <c r="B45" s="889"/>
      <c r="C45" s="890"/>
      <c r="D45" s="890"/>
      <c r="E45" s="890"/>
      <c r="F45" s="890"/>
      <c r="G45" s="891"/>
      <c r="H45" s="889"/>
      <c r="I45" s="890"/>
      <c r="J45" s="890"/>
      <c r="K45" s="890"/>
      <c r="L45" s="891"/>
    </row>
    <row r="46" spans="2:15" x14ac:dyDescent="0.25">
      <c r="B46" s="889"/>
      <c r="C46" s="890"/>
      <c r="D46" s="890"/>
      <c r="E46" s="890"/>
      <c r="F46" s="890"/>
      <c r="G46" s="891"/>
      <c r="H46" s="889"/>
      <c r="I46" s="890"/>
      <c r="J46" s="890"/>
      <c r="K46" s="890"/>
      <c r="L46" s="891"/>
    </row>
    <row r="47" spans="2:15" x14ac:dyDescent="0.25">
      <c r="B47" s="889"/>
      <c r="C47" s="890"/>
      <c r="D47" s="890"/>
      <c r="E47" s="890"/>
      <c r="F47" s="890"/>
      <c r="G47" s="891"/>
      <c r="H47" s="889"/>
      <c r="I47" s="890"/>
      <c r="J47" s="890"/>
      <c r="K47" s="890"/>
      <c r="L47" s="891"/>
    </row>
    <row r="48" spans="2:15" x14ac:dyDescent="0.25">
      <c r="B48" s="889"/>
      <c r="C48" s="890"/>
      <c r="D48" s="890"/>
      <c r="E48" s="890"/>
      <c r="F48" s="890"/>
      <c r="G48" s="891"/>
      <c r="H48" s="889"/>
      <c r="I48" s="890"/>
      <c r="J48" s="890"/>
      <c r="K48" s="890"/>
      <c r="L48" s="891"/>
    </row>
    <row r="49" spans="2:15" x14ac:dyDescent="0.25">
      <c r="B49" s="889"/>
      <c r="C49" s="890"/>
      <c r="D49" s="890"/>
      <c r="E49" s="890"/>
      <c r="F49" s="890"/>
      <c r="G49" s="891"/>
      <c r="H49" s="889"/>
      <c r="I49" s="890"/>
      <c r="J49" s="890"/>
      <c r="K49" s="890"/>
      <c r="L49" s="891"/>
    </row>
    <row r="50" spans="2:15" x14ac:dyDescent="0.25">
      <c r="B50" s="889"/>
      <c r="C50" s="890"/>
      <c r="D50" s="890"/>
      <c r="E50" s="890"/>
      <c r="F50" s="890"/>
      <c r="G50" s="891"/>
      <c r="H50" s="889"/>
      <c r="I50" s="890"/>
      <c r="J50" s="890"/>
      <c r="K50" s="890"/>
      <c r="L50" s="891"/>
      <c r="O50" s="134"/>
    </row>
    <row r="51" spans="2:15" ht="15.75" thickBot="1" x14ac:dyDescent="0.3">
      <c r="B51" s="920"/>
      <c r="C51" s="921"/>
      <c r="D51" s="921"/>
      <c r="E51" s="921"/>
      <c r="F51" s="921"/>
      <c r="G51" s="922"/>
      <c r="H51" s="920"/>
      <c r="I51" s="921"/>
      <c r="J51" s="921"/>
      <c r="K51" s="921"/>
      <c r="L51" s="922"/>
    </row>
    <row r="52" spans="2:15" ht="25.5" customHeight="1" x14ac:dyDescent="0.25">
      <c r="B52" s="1002" t="s">
        <v>1300</v>
      </c>
      <c r="C52" s="1003"/>
      <c r="D52" s="1003"/>
      <c r="E52" s="1003"/>
      <c r="F52" s="1003"/>
      <c r="G52" s="1004"/>
      <c r="H52" s="1008" t="s">
        <v>1301</v>
      </c>
      <c r="I52" s="1009"/>
      <c r="J52" s="1009"/>
      <c r="K52" s="1009"/>
      <c r="L52" s="1009"/>
      <c r="M52" s="998"/>
    </row>
    <row r="53" spans="2:15" ht="23.25" customHeight="1" thickBot="1" x14ac:dyDescent="0.3">
      <c r="B53" s="1005"/>
      <c r="C53" s="1006"/>
      <c r="D53" s="1006"/>
      <c r="E53" s="1006"/>
      <c r="F53" s="1006"/>
      <c r="G53" s="1007"/>
      <c r="H53" s="997"/>
      <c r="I53" s="998"/>
      <c r="J53" s="998"/>
      <c r="K53" s="998"/>
      <c r="L53" s="998"/>
      <c r="M53" s="998"/>
    </row>
    <row r="54" spans="2:15" ht="15.75" customHeight="1" x14ac:dyDescent="0.25">
      <c r="B54" s="889" t="s">
        <v>452</v>
      </c>
      <c r="C54" s="890"/>
      <c r="D54" s="890"/>
      <c r="E54" s="890"/>
      <c r="F54" s="890"/>
      <c r="G54" s="891"/>
      <c r="H54" s="904" t="s">
        <v>453</v>
      </c>
      <c r="I54" s="905"/>
      <c r="J54" s="905"/>
      <c r="K54" s="905"/>
      <c r="L54" s="906"/>
    </row>
    <row r="55" spans="2:15" x14ac:dyDescent="0.25">
      <c r="B55" s="889"/>
      <c r="C55" s="890"/>
      <c r="D55" s="890"/>
      <c r="E55" s="890"/>
      <c r="F55" s="890"/>
      <c r="G55" s="891"/>
      <c r="H55" s="889"/>
      <c r="I55" s="890"/>
      <c r="J55" s="890"/>
      <c r="K55" s="890"/>
      <c r="L55" s="891"/>
    </row>
    <row r="56" spans="2:15" x14ac:dyDescent="0.25">
      <c r="B56" s="889"/>
      <c r="C56" s="890"/>
      <c r="D56" s="890"/>
      <c r="E56" s="890"/>
      <c r="F56" s="890"/>
      <c r="G56" s="891"/>
      <c r="H56" s="889"/>
      <c r="I56" s="890"/>
      <c r="J56" s="890"/>
      <c r="K56" s="890"/>
      <c r="L56" s="891"/>
    </row>
    <row r="57" spans="2:15" x14ac:dyDescent="0.25">
      <c r="B57" s="889"/>
      <c r="C57" s="890"/>
      <c r="D57" s="890"/>
      <c r="E57" s="890"/>
      <c r="F57" s="890"/>
      <c r="G57" s="891"/>
      <c r="H57" s="889"/>
      <c r="I57" s="890"/>
      <c r="J57" s="890"/>
      <c r="K57" s="890"/>
      <c r="L57" s="891"/>
    </row>
    <row r="58" spans="2:15" x14ac:dyDescent="0.25">
      <c r="B58" s="889"/>
      <c r="C58" s="890"/>
      <c r="D58" s="890"/>
      <c r="E58" s="890"/>
      <c r="F58" s="890"/>
      <c r="G58" s="891"/>
      <c r="H58" s="889"/>
      <c r="I58" s="890"/>
      <c r="J58" s="890"/>
      <c r="K58" s="890"/>
      <c r="L58" s="891"/>
    </row>
    <row r="59" spans="2:15" x14ac:dyDescent="0.25">
      <c r="B59" s="889"/>
      <c r="C59" s="890"/>
      <c r="D59" s="890"/>
      <c r="E59" s="890"/>
      <c r="F59" s="890"/>
      <c r="G59" s="891"/>
      <c r="H59" s="889"/>
      <c r="I59" s="890"/>
      <c r="J59" s="890"/>
      <c r="K59" s="890"/>
      <c r="L59" s="891"/>
    </row>
    <row r="60" spans="2:15" x14ac:dyDescent="0.25">
      <c r="B60" s="889"/>
      <c r="C60" s="890"/>
      <c r="D60" s="890"/>
      <c r="E60" s="890"/>
      <c r="F60" s="890"/>
      <c r="G60" s="891"/>
      <c r="H60" s="889"/>
      <c r="I60" s="890"/>
      <c r="J60" s="890"/>
      <c r="K60" s="890"/>
      <c r="L60" s="891"/>
    </row>
    <row r="61" spans="2:15" x14ac:dyDescent="0.25">
      <c r="B61" s="889"/>
      <c r="C61" s="890"/>
      <c r="D61" s="890"/>
      <c r="E61" s="890"/>
      <c r="F61" s="890"/>
      <c r="G61" s="891"/>
      <c r="H61" s="889"/>
      <c r="I61" s="890"/>
      <c r="J61" s="890"/>
      <c r="K61" s="890"/>
      <c r="L61" s="891"/>
    </row>
    <row r="62" spans="2:15" x14ac:dyDescent="0.25">
      <c r="B62" s="889"/>
      <c r="C62" s="890"/>
      <c r="D62" s="890"/>
      <c r="E62" s="890"/>
      <c r="F62" s="890"/>
      <c r="G62" s="891"/>
      <c r="H62" s="889"/>
      <c r="I62" s="890"/>
      <c r="J62" s="890"/>
      <c r="K62" s="890"/>
      <c r="L62" s="891"/>
    </row>
    <row r="63" spans="2:15" x14ac:dyDescent="0.25">
      <c r="B63" s="889"/>
      <c r="C63" s="890"/>
      <c r="D63" s="890"/>
      <c r="E63" s="890"/>
      <c r="F63" s="890"/>
      <c r="G63" s="891"/>
      <c r="H63" s="889"/>
      <c r="I63" s="890"/>
      <c r="J63" s="890"/>
      <c r="K63" s="890"/>
      <c r="L63" s="891"/>
    </row>
    <row r="64" spans="2:15" x14ac:dyDescent="0.25">
      <c r="B64" s="889"/>
      <c r="C64" s="890"/>
      <c r="D64" s="890"/>
      <c r="E64" s="890"/>
      <c r="F64" s="890"/>
      <c r="G64" s="891"/>
      <c r="H64" s="889"/>
      <c r="I64" s="890"/>
      <c r="J64" s="890"/>
      <c r="K64" s="890"/>
      <c r="L64" s="891"/>
    </row>
    <row r="65" spans="2:15" x14ac:dyDescent="0.25">
      <c r="B65" s="889"/>
      <c r="C65" s="890"/>
      <c r="D65" s="890"/>
      <c r="E65" s="890"/>
      <c r="F65" s="890"/>
      <c r="G65" s="891"/>
      <c r="H65" s="889"/>
      <c r="I65" s="890"/>
      <c r="J65" s="890"/>
      <c r="K65" s="890"/>
      <c r="L65" s="891"/>
    </row>
    <row r="66" spans="2:15" x14ac:dyDescent="0.25">
      <c r="B66" s="889"/>
      <c r="C66" s="890"/>
      <c r="D66" s="890"/>
      <c r="E66" s="890"/>
      <c r="F66" s="890"/>
      <c r="G66" s="891"/>
      <c r="H66" s="889"/>
      <c r="I66" s="890"/>
      <c r="J66" s="890"/>
      <c r="K66" s="890"/>
      <c r="L66" s="891"/>
      <c r="O66" s="134"/>
    </row>
    <row r="67" spans="2:15" ht="15.75" thickBot="1" x14ac:dyDescent="0.3">
      <c r="B67" s="920"/>
      <c r="C67" s="921"/>
      <c r="D67" s="921"/>
      <c r="E67" s="921"/>
      <c r="F67" s="921"/>
      <c r="G67" s="922"/>
      <c r="H67" s="920"/>
      <c r="I67" s="921"/>
      <c r="J67" s="921"/>
      <c r="K67" s="921"/>
      <c r="L67" s="922"/>
    </row>
    <row r="68" spans="2:15" ht="25.5" customHeight="1" x14ac:dyDescent="0.25">
      <c r="B68" s="1002" t="s">
        <v>1302</v>
      </c>
      <c r="C68" s="1003"/>
      <c r="D68" s="1003"/>
      <c r="E68" s="1003"/>
      <c r="F68" s="1003"/>
      <c r="G68" s="1004"/>
      <c r="H68" s="1008" t="s">
        <v>1302</v>
      </c>
      <c r="I68" s="1009"/>
      <c r="J68" s="1009"/>
      <c r="K68" s="1009"/>
      <c r="L68" s="1009"/>
      <c r="M68" s="998"/>
    </row>
    <row r="69" spans="2:15" ht="23.25" customHeight="1" thickBot="1" x14ac:dyDescent="0.3">
      <c r="B69" s="1005"/>
      <c r="C69" s="1006"/>
      <c r="D69" s="1006"/>
      <c r="E69" s="1006"/>
      <c r="F69" s="1006"/>
      <c r="G69" s="1007"/>
      <c r="H69" s="997"/>
      <c r="I69" s="998"/>
      <c r="J69" s="998"/>
      <c r="K69" s="998"/>
      <c r="L69" s="998"/>
      <c r="M69" s="998"/>
    </row>
    <row r="70" spans="2:15" ht="15.75" customHeight="1" x14ac:dyDescent="0.25">
      <c r="B70" s="889" t="s">
        <v>452</v>
      </c>
      <c r="C70" s="890"/>
      <c r="D70" s="890"/>
      <c r="E70" s="890"/>
      <c r="F70" s="890"/>
      <c r="G70" s="891"/>
      <c r="H70" s="904" t="s">
        <v>453</v>
      </c>
      <c r="I70" s="905"/>
      <c r="J70" s="905"/>
      <c r="K70" s="905"/>
      <c r="L70" s="906"/>
    </row>
    <row r="71" spans="2:15" x14ac:dyDescent="0.25">
      <c r="B71" s="889"/>
      <c r="C71" s="890"/>
      <c r="D71" s="890"/>
      <c r="E71" s="890"/>
      <c r="F71" s="890"/>
      <c r="G71" s="891"/>
      <c r="H71" s="889"/>
      <c r="I71" s="890"/>
      <c r="J71" s="890"/>
      <c r="K71" s="890"/>
      <c r="L71" s="891"/>
    </row>
    <row r="72" spans="2:15" x14ac:dyDescent="0.25">
      <c r="B72" s="889"/>
      <c r="C72" s="890"/>
      <c r="D72" s="890"/>
      <c r="E72" s="890"/>
      <c r="F72" s="890"/>
      <c r="G72" s="891"/>
      <c r="H72" s="889"/>
      <c r="I72" s="890"/>
      <c r="J72" s="890"/>
      <c r="K72" s="890"/>
      <c r="L72" s="891"/>
    </row>
    <row r="73" spans="2:15" x14ac:dyDescent="0.25">
      <c r="B73" s="889"/>
      <c r="C73" s="890"/>
      <c r="D73" s="890"/>
      <c r="E73" s="890"/>
      <c r="F73" s="890"/>
      <c r="G73" s="891"/>
      <c r="H73" s="889"/>
      <c r="I73" s="890"/>
      <c r="J73" s="890"/>
      <c r="K73" s="890"/>
      <c r="L73" s="891"/>
    </row>
    <row r="74" spans="2:15" x14ac:dyDescent="0.25">
      <c r="B74" s="889"/>
      <c r="C74" s="890"/>
      <c r="D74" s="890"/>
      <c r="E74" s="890"/>
      <c r="F74" s="890"/>
      <c r="G74" s="891"/>
      <c r="H74" s="889"/>
      <c r="I74" s="890"/>
      <c r="J74" s="890"/>
      <c r="K74" s="890"/>
      <c r="L74" s="891"/>
    </row>
    <row r="75" spans="2:15" x14ac:dyDescent="0.25">
      <c r="B75" s="889"/>
      <c r="C75" s="890"/>
      <c r="D75" s="890"/>
      <c r="E75" s="890"/>
      <c r="F75" s="890"/>
      <c r="G75" s="891"/>
      <c r="H75" s="889"/>
      <c r="I75" s="890"/>
      <c r="J75" s="890"/>
      <c r="K75" s="890"/>
      <c r="L75" s="891"/>
    </row>
    <row r="76" spans="2:15" x14ac:dyDescent="0.25">
      <c r="B76" s="889"/>
      <c r="C76" s="890"/>
      <c r="D76" s="890"/>
      <c r="E76" s="890"/>
      <c r="F76" s="890"/>
      <c r="G76" s="891"/>
      <c r="H76" s="889"/>
      <c r="I76" s="890"/>
      <c r="J76" s="890"/>
      <c r="K76" s="890"/>
      <c r="L76" s="891"/>
    </row>
    <row r="77" spans="2:15" x14ac:dyDescent="0.25">
      <c r="B77" s="889"/>
      <c r="C77" s="890"/>
      <c r="D77" s="890"/>
      <c r="E77" s="890"/>
      <c r="F77" s="890"/>
      <c r="G77" s="891"/>
      <c r="H77" s="889"/>
      <c r="I77" s="890"/>
      <c r="J77" s="890"/>
      <c r="K77" s="890"/>
      <c r="L77" s="891"/>
    </row>
    <row r="78" spans="2:15" x14ac:dyDescent="0.25">
      <c r="B78" s="889"/>
      <c r="C78" s="890"/>
      <c r="D78" s="890"/>
      <c r="E78" s="890"/>
      <c r="F78" s="890"/>
      <c r="G78" s="891"/>
      <c r="H78" s="889"/>
      <c r="I78" s="890"/>
      <c r="J78" s="890"/>
      <c r="K78" s="890"/>
      <c r="L78" s="891"/>
    </row>
    <row r="79" spans="2:15" x14ac:dyDescent="0.25">
      <c r="B79" s="889"/>
      <c r="C79" s="890"/>
      <c r="D79" s="890"/>
      <c r="E79" s="890"/>
      <c r="F79" s="890"/>
      <c r="G79" s="891"/>
      <c r="H79" s="889"/>
      <c r="I79" s="890"/>
      <c r="J79" s="890"/>
      <c r="K79" s="890"/>
      <c r="L79" s="891"/>
    </row>
    <row r="80" spans="2:15" x14ac:dyDescent="0.25">
      <c r="B80" s="889"/>
      <c r="C80" s="890"/>
      <c r="D80" s="890"/>
      <c r="E80" s="890"/>
      <c r="F80" s="890"/>
      <c r="G80" s="891"/>
      <c r="H80" s="889"/>
      <c r="I80" s="890"/>
      <c r="J80" s="890"/>
      <c r="K80" s="890"/>
      <c r="L80" s="891"/>
    </row>
    <row r="81" spans="2:15" x14ac:dyDescent="0.25">
      <c r="B81" s="889"/>
      <c r="C81" s="890"/>
      <c r="D81" s="890"/>
      <c r="E81" s="890"/>
      <c r="F81" s="890"/>
      <c r="G81" s="891"/>
      <c r="H81" s="889"/>
      <c r="I81" s="890"/>
      <c r="J81" s="890"/>
      <c r="K81" s="890"/>
      <c r="L81" s="891"/>
    </row>
    <row r="82" spans="2:15" x14ac:dyDescent="0.25">
      <c r="B82" s="889"/>
      <c r="C82" s="890"/>
      <c r="D82" s="890"/>
      <c r="E82" s="890"/>
      <c r="F82" s="890"/>
      <c r="G82" s="891"/>
      <c r="H82" s="889"/>
      <c r="I82" s="890"/>
      <c r="J82" s="890"/>
      <c r="K82" s="890"/>
      <c r="L82" s="891"/>
      <c r="O82" s="134"/>
    </row>
    <row r="83" spans="2:15" ht="15.75" thickBot="1" x14ac:dyDescent="0.3">
      <c r="B83" s="920"/>
      <c r="C83" s="921"/>
      <c r="D83" s="921"/>
      <c r="E83" s="921"/>
      <c r="F83" s="921"/>
      <c r="G83" s="922"/>
      <c r="H83" s="920"/>
      <c r="I83" s="921"/>
      <c r="J83" s="921"/>
      <c r="K83" s="921"/>
      <c r="L83" s="922"/>
    </row>
    <row r="84" spans="2:15" ht="25.5" customHeight="1" x14ac:dyDescent="0.25">
      <c r="B84" s="1002" t="s">
        <v>1303</v>
      </c>
      <c r="C84" s="1003"/>
      <c r="D84" s="1003"/>
      <c r="E84" s="1003"/>
      <c r="F84" s="1003"/>
      <c r="G84" s="1004"/>
      <c r="H84" s="1008" t="s">
        <v>1304</v>
      </c>
      <c r="I84" s="1009"/>
      <c r="J84" s="1009"/>
      <c r="K84" s="1009"/>
      <c r="L84" s="1009"/>
      <c r="M84" s="998"/>
    </row>
    <row r="85" spans="2:15" ht="23.25" customHeight="1" thickBot="1" x14ac:dyDescent="0.3">
      <c r="B85" s="1005"/>
      <c r="C85" s="1006"/>
      <c r="D85" s="1006"/>
      <c r="E85" s="1006"/>
      <c r="F85" s="1006"/>
      <c r="G85" s="1007"/>
      <c r="H85" s="997"/>
      <c r="I85" s="998"/>
      <c r="J85" s="998"/>
      <c r="K85" s="998"/>
      <c r="L85" s="998"/>
      <c r="M85" s="998"/>
    </row>
    <row r="86" spans="2:15" ht="15.75" customHeight="1" x14ac:dyDescent="0.25">
      <c r="B86" s="889" t="s">
        <v>452</v>
      </c>
      <c r="C86" s="890"/>
      <c r="D86" s="890"/>
      <c r="E86" s="890"/>
      <c r="F86" s="890"/>
      <c r="G86" s="891"/>
      <c r="H86" s="904" t="s">
        <v>453</v>
      </c>
      <c r="I86" s="905"/>
      <c r="J86" s="905"/>
      <c r="K86" s="905"/>
      <c r="L86" s="906"/>
    </row>
    <row r="87" spans="2:15" x14ac:dyDescent="0.25">
      <c r="B87" s="889"/>
      <c r="C87" s="890"/>
      <c r="D87" s="890"/>
      <c r="E87" s="890"/>
      <c r="F87" s="890"/>
      <c r="G87" s="891"/>
      <c r="H87" s="889"/>
      <c r="I87" s="890"/>
      <c r="J87" s="890"/>
      <c r="K87" s="890"/>
      <c r="L87" s="891"/>
    </row>
    <row r="88" spans="2:15" x14ac:dyDescent="0.25">
      <c r="B88" s="889"/>
      <c r="C88" s="890"/>
      <c r="D88" s="890"/>
      <c r="E88" s="890"/>
      <c r="F88" s="890"/>
      <c r="G88" s="891"/>
      <c r="H88" s="889"/>
      <c r="I88" s="890"/>
      <c r="J88" s="890"/>
      <c r="K88" s="890"/>
      <c r="L88" s="891"/>
    </row>
    <row r="89" spans="2:15" x14ac:dyDescent="0.25">
      <c r="B89" s="889"/>
      <c r="C89" s="890"/>
      <c r="D89" s="890"/>
      <c r="E89" s="890"/>
      <c r="F89" s="890"/>
      <c r="G89" s="891"/>
      <c r="H89" s="889"/>
      <c r="I89" s="890"/>
      <c r="J89" s="890"/>
      <c r="K89" s="890"/>
      <c r="L89" s="891"/>
    </row>
    <row r="90" spans="2:15" x14ac:dyDescent="0.25">
      <c r="B90" s="889"/>
      <c r="C90" s="890"/>
      <c r="D90" s="890"/>
      <c r="E90" s="890"/>
      <c r="F90" s="890"/>
      <c r="G90" s="891"/>
      <c r="H90" s="889"/>
      <c r="I90" s="890"/>
      <c r="J90" s="890"/>
      <c r="K90" s="890"/>
      <c r="L90" s="891"/>
    </row>
    <row r="91" spans="2:15" x14ac:dyDescent="0.25">
      <c r="B91" s="889"/>
      <c r="C91" s="890"/>
      <c r="D91" s="890"/>
      <c r="E91" s="890"/>
      <c r="F91" s="890"/>
      <c r="G91" s="891"/>
      <c r="H91" s="889"/>
      <c r="I91" s="890"/>
      <c r="J91" s="890"/>
      <c r="K91" s="890"/>
      <c r="L91" s="891"/>
    </row>
    <row r="92" spans="2:15" x14ac:dyDescent="0.25">
      <c r="B92" s="889"/>
      <c r="C92" s="890"/>
      <c r="D92" s="890"/>
      <c r="E92" s="890"/>
      <c r="F92" s="890"/>
      <c r="G92" s="891"/>
      <c r="H92" s="889"/>
      <c r="I92" s="890"/>
      <c r="J92" s="890"/>
      <c r="K92" s="890"/>
      <c r="L92" s="891"/>
    </row>
    <row r="93" spans="2:15" x14ac:dyDescent="0.25">
      <c r="B93" s="889"/>
      <c r="C93" s="890"/>
      <c r="D93" s="890"/>
      <c r="E93" s="890"/>
      <c r="F93" s="890"/>
      <c r="G93" s="891"/>
      <c r="H93" s="889"/>
      <c r="I93" s="890"/>
      <c r="J93" s="890"/>
      <c r="K93" s="890"/>
      <c r="L93" s="891"/>
    </row>
    <row r="94" spans="2:15" x14ac:dyDescent="0.25">
      <c r="B94" s="889"/>
      <c r="C94" s="890"/>
      <c r="D94" s="890"/>
      <c r="E94" s="890"/>
      <c r="F94" s="890"/>
      <c r="G94" s="891"/>
      <c r="H94" s="889"/>
      <c r="I94" s="890"/>
      <c r="J94" s="890"/>
      <c r="K94" s="890"/>
      <c r="L94" s="891"/>
    </row>
    <row r="95" spans="2:15" x14ac:dyDescent="0.25">
      <c r="B95" s="889"/>
      <c r="C95" s="890"/>
      <c r="D95" s="890"/>
      <c r="E95" s="890"/>
      <c r="F95" s="890"/>
      <c r="G95" s="891"/>
      <c r="H95" s="889"/>
      <c r="I95" s="890"/>
      <c r="J95" s="890"/>
      <c r="K95" s="890"/>
      <c r="L95" s="891"/>
    </row>
    <row r="96" spans="2:15" x14ac:dyDescent="0.25">
      <c r="B96" s="889"/>
      <c r="C96" s="890"/>
      <c r="D96" s="890"/>
      <c r="E96" s="890"/>
      <c r="F96" s="890"/>
      <c r="G96" s="891"/>
      <c r="H96" s="889"/>
      <c r="I96" s="890"/>
      <c r="J96" s="890"/>
      <c r="K96" s="890"/>
      <c r="L96" s="891"/>
    </row>
    <row r="97" spans="2:15" x14ac:dyDescent="0.25">
      <c r="B97" s="889"/>
      <c r="C97" s="890"/>
      <c r="D97" s="890"/>
      <c r="E97" s="890"/>
      <c r="F97" s="890"/>
      <c r="G97" s="891"/>
      <c r="H97" s="889"/>
      <c r="I97" s="890"/>
      <c r="J97" s="890"/>
      <c r="K97" s="890"/>
      <c r="L97" s="891"/>
    </row>
    <row r="98" spans="2:15" x14ac:dyDescent="0.25">
      <c r="B98" s="889"/>
      <c r="C98" s="890"/>
      <c r="D98" s="890"/>
      <c r="E98" s="890"/>
      <c r="F98" s="890"/>
      <c r="G98" s="891"/>
      <c r="H98" s="889"/>
      <c r="I98" s="890"/>
      <c r="J98" s="890"/>
      <c r="K98" s="890"/>
      <c r="L98" s="891"/>
      <c r="O98" s="134"/>
    </row>
    <row r="99" spans="2:15" ht="15.75" thickBot="1" x14ac:dyDescent="0.3">
      <c r="B99" s="920"/>
      <c r="C99" s="921"/>
      <c r="D99" s="921"/>
      <c r="E99" s="921"/>
      <c r="F99" s="921"/>
      <c r="G99" s="922"/>
      <c r="H99" s="920"/>
      <c r="I99" s="921"/>
      <c r="J99" s="921"/>
      <c r="K99" s="921"/>
      <c r="L99" s="922"/>
    </row>
    <row r="100" spans="2:15" ht="25.5" customHeight="1" x14ac:dyDescent="0.25">
      <c r="B100" s="1002" t="s">
        <v>1305</v>
      </c>
      <c r="C100" s="1003"/>
      <c r="D100" s="1003"/>
      <c r="E100" s="1003"/>
      <c r="F100" s="1003"/>
      <c r="G100" s="1004"/>
      <c r="H100" s="1008" t="s">
        <v>1306</v>
      </c>
      <c r="I100" s="1009"/>
      <c r="J100" s="1009"/>
      <c r="K100" s="1009"/>
      <c r="L100" s="1009"/>
      <c r="M100" s="998"/>
    </row>
    <row r="101" spans="2:15" ht="23.25" customHeight="1" thickBot="1" x14ac:dyDescent="0.3">
      <c r="B101" s="1005"/>
      <c r="C101" s="1006"/>
      <c r="D101" s="1006"/>
      <c r="E101" s="1006"/>
      <c r="F101" s="1006"/>
      <c r="G101" s="1007"/>
      <c r="H101" s="997"/>
      <c r="I101" s="998"/>
      <c r="J101" s="998"/>
      <c r="K101" s="998"/>
      <c r="L101" s="998"/>
      <c r="M101" s="998"/>
    </row>
    <row r="102" spans="2:15" ht="15.75" customHeight="1" x14ac:dyDescent="0.25">
      <c r="B102" s="868"/>
      <c r="C102" s="869"/>
      <c r="D102" s="869"/>
      <c r="E102" s="869"/>
      <c r="F102" s="869"/>
      <c r="G102" s="870"/>
      <c r="H102" s="868"/>
      <c r="I102" s="869"/>
      <c r="J102" s="869"/>
      <c r="K102" s="869"/>
      <c r="L102" s="870"/>
    </row>
    <row r="103" spans="2:15" x14ac:dyDescent="0.25">
      <c r="B103" s="871"/>
      <c r="C103" s="872"/>
      <c r="D103" s="872"/>
      <c r="E103" s="872"/>
      <c r="F103" s="872"/>
      <c r="G103" s="873"/>
      <c r="H103" s="871"/>
      <c r="I103" s="872"/>
      <c r="J103" s="872"/>
      <c r="K103" s="872"/>
      <c r="L103" s="873"/>
    </row>
    <row r="104" spans="2:15" x14ac:dyDescent="0.25">
      <c r="B104" s="871"/>
      <c r="C104" s="872"/>
      <c r="D104" s="872"/>
      <c r="E104" s="872"/>
      <c r="F104" s="872"/>
      <c r="G104" s="873"/>
      <c r="H104" s="871"/>
      <c r="I104" s="872"/>
      <c r="J104" s="872"/>
      <c r="K104" s="872"/>
      <c r="L104" s="873"/>
    </row>
    <row r="105" spans="2:15" x14ac:dyDescent="0.25">
      <c r="B105" s="871"/>
      <c r="C105" s="872"/>
      <c r="D105" s="872"/>
      <c r="E105" s="872"/>
      <c r="F105" s="872"/>
      <c r="G105" s="873"/>
      <c r="H105" s="871"/>
      <c r="I105" s="872"/>
      <c r="J105" s="872"/>
      <c r="K105" s="872"/>
      <c r="L105" s="873"/>
    </row>
    <row r="106" spans="2:15" x14ac:dyDescent="0.25">
      <c r="B106" s="871"/>
      <c r="C106" s="872"/>
      <c r="D106" s="872"/>
      <c r="E106" s="872"/>
      <c r="F106" s="872"/>
      <c r="G106" s="873"/>
      <c r="H106" s="871"/>
      <c r="I106" s="872"/>
      <c r="J106" s="872"/>
      <c r="K106" s="872"/>
      <c r="L106" s="873"/>
    </row>
    <row r="107" spans="2:15" x14ac:dyDescent="0.25">
      <c r="B107" s="871"/>
      <c r="C107" s="872"/>
      <c r="D107" s="872"/>
      <c r="E107" s="872"/>
      <c r="F107" s="872"/>
      <c r="G107" s="873"/>
      <c r="H107" s="871"/>
      <c r="I107" s="872"/>
      <c r="J107" s="872"/>
      <c r="K107" s="872"/>
      <c r="L107" s="873"/>
    </row>
    <row r="108" spans="2:15" x14ac:dyDescent="0.25">
      <c r="B108" s="871"/>
      <c r="C108" s="872"/>
      <c r="D108" s="872"/>
      <c r="E108" s="872"/>
      <c r="F108" s="872"/>
      <c r="G108" s="873"/>
      <c r="H108" s="871"/>
      <c r="I108" s="872"/>
      <c r="J108" s="872"/>
      <c r="K108" s="872"/>
      <c r="L108" s="873"/>
    </row>
    <row r="109" spans="2:15" x14ac:dyDescent="0.25">
      <c r="B109" s="871"/>
      <c r="C109" s="872"/>
      <c r="D109" s="872"/>
      <c r="E109" s="872"/>
      <c r="F109" s="872"/>
      <c r="G109" s="873"/>
      <c r="H109" s="871"/>
      <c r="I109" s="872"/>
      <c r="J109" s="872"/>
      <c r="K109" s="872"/>
      <c r="L109" s="873"/>
    </row>
    <row r="110" spans="2:15" x14ac:dyDescent="0.25">
      <c r="B110" s="871"/>
      <c r="C110" s="872"/>
      <c r="D110" s="872"/>
      <c r="E110" s="872"/>
      <c r="F110" s="872"/>
      <c r="G110" s="873"/>
      <c r="H110" s="871"/>
      <c r="I110" s="872"/>
      <c r="J110" s="872"/>
      <c r="K110" s="872"/>
      <c r="L110" s="873"/>
    </row>
    <row r="111" spans="2:15" x14ac:dyDescent="0.25">
      <c r="B111" s="871"/>
      <c r="C111" s="872"/>
      <c r="D111" s="872"/>
      <c r="E111" s="872"/>
      <c r="F111" s="872"/>
      <c r="G111" s="873"/>
      <c r="H111" s="871"/>
      <c r="I111" s="872"/>
      <c r="J111" s="872"/>
      <c r="K111" s="872"/>
      <c r="L111" s="873"/>
    </row>
    <row r="112" spans="2:15" x14ac:dyDescent="0.25">
      <c r="B112" s="871"/>
      <c r="C112" s="872"/>
      <c r="D112" s="872"/>
      <c r="E112" s="872"/>
      <c r="F112" s="872"/>
      <c r="G112" s="873"/>
      <c r="H112" s="871"/>
      <c r="I112" s="872"/>
      <c r="J112" s="872"/>
      <c r="K112" s="872"/>
      <c r="L112" s="873"/>
    </row>
    <row r="113" spans="2:12" x14ac:dyDescent="0.25">
      <c r="B113" s="871"/>
      <c r="C113" s="872"/>
      <c r="D113" s="872"/>
      <c r="E113" s="872"/>
      <c r="F113" s="872"/>
      <c r="G113" s="873"/>
      <c r="H113" s="871"/>
      <c r="I113" s="872"/>
      <c r="J113" s="872"/>
      <c r="K113" s="872"/>
      <c r="L113" s="873"/>
    </row>
    <row r="114" spans="2:12" x14ac:dyDescent="0.25">
      <c r="B114" s="871"/>
      <c r="C114" s="872"/>
      <c r="D114" s="872"/>
      <c r="E114" s="872"/>
      <c r="F114" s="872"/>
      <c r="G114" s="873"/>
      <c r="H114" s="871"/>
      <c r="I114" s="872"/>
      <c r="J114" s="872"/>
      <c r="K114" s="872"/>
      <c r="L114" s="873"/>
    </row>
    <row r="115" spans="2:12" ht="15.75" thickBot="1" x14ac:dyDescent="0.3">
      <c r="B115" s="999"/>
      <c r="C115" s="1000"/>
      <c r="D115" s="1000"/>
      <c r="E115" s="1000"/>
      <c r="F115" s="1000"/>
      <c r="G115" s="1001"/>
      <c r="H115" s="999"/>
      <c r="I115" s="1000"/>
      <c r="J115" s="1000"/>
      <c r="K115" s="1000"/>
      <c r="L115" s="1001"/>
    </row>
    <row r="116" spans="2:12" x14ac:dyDescent="0.25">
      <c r="B116" s="991" t="s">
        <v>1155</v>
      </c>
      <c r="C116" s="992"/>
      <c r="D116" s="992"/>
      <c r="E116" s="992"/>
      <c r="F116" s="992"/>
      <c r="G116" s="993"/>
      <c r="H116" s="997" t="s">
        <v>1307</v>
      </c>
      <c r="I116" s="998"/>
      <c r="J116" s="998"/>
      <c r="K116" s="998"/>
      <c r="L116" s="998"/>
    </row>
    <row r="117" spans="2:12" ht="30" customHeight="1" thickBot="1" x14ac:dyDescent="0.3">
      <c r="B117" s="994"/>
      <c r="C117" s="995"/>
      <c r="D117" s="995"/>
      <c r="E117" s="995"/>
      <c r="F117" s="995"/>
      <c r="G117" s="996"/>
      <c r="H117" s="997"/>
      <c r="I117" s="998"/>
      <c r="J117" s="998"/>
      <c r="K117" s="998"/>
      <c r="L117" s="998"/>
    </row>
    <row r="118" spans="2:12" ht="15.75" customHeight="1" x14ac:dyDescent="0.25">
      <c r="B118" s="868"/>
      <c r="C118" s="869"/>
      <c r="D118" s="869"/>
      <c r="E118" s="869"/>
      <c r="F118" s="869"/>
      <c r="G118" s="870"/>
      <c r="H118" s="868"/>
      <c r="I118" s="869"/>
      <c r="J118" s="869"/>
      <c r="K118" s="869"/>
      <c r="L118" s="870"/>
    </row>
    <row r="119" spans="2:12" x14ac:dyDescent="0.25">
      <c r="B119" s="871"/>
      <c r="C119" s="872"/>
      <c r="D119" s="872"/>
      <c r="E119" s="872"/>
      <c r="F119" s="872"/>
      <c r="G119" s="873"/>
      <c r="H119" s="871"/>
      <c r="I119" s="872"/>
      <c r="J119" s="872"/>
      <c r="K119" s="872"/>
      <c r="L119" s="873"/>
    </row>
    <row r="120" spans="2:12" x14ac:dyDescent="0.25">
      <c r="B120" s="871"/>
      <c r="C120" s="872"/>
      <c r="D120" s="872"/>
      <c r="E120" s="872"/>
      <c r="F120" s="872"/>
      <c r="G120" s="873"/>
      <c r="H120" s="871"/>
      <c r="I120" s="872"/>
      <c r="J120" s="872"/>
      <c r="K120" s="872"/>
      <c r="L120" s="873"/>
    </row>
    <row r="121" spans="2:12" x14ac:dyDescent="0.25">
      <c r="B121" s="871"/>
      <c r="C121" s="872"/>
      <c r="D121" s="872"/>
      <c r="E121" s="872"/>
      <c r="F121" s="872"/>
      <c r="G121" s="873"/>
      <c r="H121" s="871"/>
      <c r="I121" s="872"/>
      <c r="J121" s="872"/>
      <c r="K121" s="872"/>
      <c r="L121" s="873"/>
    </row>
    <row r="122" spans="2:12" x14ac:dyDescent="0.25">
      <c r="B122" s="871"/>
      <c r="C122" s="872"/>
      <c r="D122" s="872"/>
      <c r="E122" s="872"/>
      <c r="F122" s="872"/>
      <c r="G122" s="873"/>
      <c r="H122" s="871"/>
      <c r="I122" s="872"/>
      <c r="J122" s="872"/>
      <c r="K122" s="872"/>
      <c r="L122" s="873"/>
    </row>
    <row r="123" spans="2:12" x14ac:dyDescent="0.25">
      <c r="B123" s="871"/>
      <c r="C123" s="872"/>
      <c r="D123" s="872"/>
      <c r="E123" s="872"/>
      <c r="F123" s="872"/>
      <c r="G123" s="873"/>
      <c r="H123" s="871"/>
      <c r="I123" s="872"/>
      <c r="J123" s="872"/>
      <c r="K123" s="872"/>
      <c r="L123" s="873"/>
    </row>
    <row r="124" spans="2:12" x14ac:dyDescent="0.25">
      <c r="B124" s="871"/>
      <c r="C124" s="872"/>
      <c r="D124" s="872"/>
      <c r="E124" s="872"/>
      <c r="F124" s="872"/>
      <c r="G124" s="873"/>
      <c r="H124" s="871"/>
      <c r="I124" s="872"/>
      <c r="J124" s="872"/>
      <c r="K124" s="872"/>
      <c r="L124" s="873"/>
    </row>
    <row r="125" spans="2:12" x14ac:dyDescent="0.25">
      <c r="B125" s="871"/>
      <c r="C125" s="872"/>
      <c r="D125" s="872"/>
      <c r="E125" s="872"/>
      <c r="F125" s="872"/>
      <c r="G125" s="873"/>
      <c r="H125" s="871"/>
      <c r="I125" s="872"/>
      <c r="J125" s="872"/>
      <c r="K125" s="872"/>
      <c r="L125" s="873"/>
    </row>
    <row r="126" spans="2:12" x14ac:dyDescent="0.25">
      <c r="B126" s="871"/>
      <c r="C126" s="872"/>
      <c r="D126" s="872"/>
      <c r="E126" s="872"/>
      <c r="F126" s="872"/>
      <c r="G126" s="873"/>
      <c r="H126" s="871"/>
      <c r="I126" s="872"/>
      <c r="J126" s="872"/>
      <c r="K126" s="872"/>
      <c r="L126" s="873"/>
    </row>
    <row r="127" spans="2:12" x14ac:dyDescent="0.25">
      <c r="B127" s="871"/>
      <c r="C127" s="872"/>
      <c r="D127" s="872"/>
      <c r="E127" s="872"/>
      <c r="F127" s="872"/>
      <c r="G127" s="873"/>
      <c r="H127" s="871"/>
      <c r="I127" s="872"/>
      <c r="J127" s="872"/>
      <c r="K127" s="872"/>
      <c r="L127" s="873"/>
    </row>
    <row r="128" spans="2:12" x14ac:dyDescent="0.25">
      <c r="B128" s="871"/>
      <c r="C128" s="872"/>
      <c r="D128" s="872"/>
      <c r="E128" s="872"/>
      <c r="F128" s="872"/>
      <c r="G128" s="873"/>
      <c r="H128" s="871"/>
      <c r="I128" s="872"/>
      <c r="J128" s="872"/>
      <c r="K128" s="872"/>
      <c r="L128" s="873"/>
    </row>
    <row r="129" spans="2:12" x14ac:dyDescent="0.25">
      <c r="B129" s="871"/>
      <c r="C129" s="872"/>
      <c r="D129" s="872"/>
      <c r="E129" s="872"/>
      <c r="F129" s="872"/>
      <c r="G129" s="873"/>
      <c r="H129" s="871"/>
      <c r="I129" s="872"/>
      <c r="J129" s="872"/>
      <c r="K129" s="872"/>
      <c r="L129" s="873"/>
    </row>
    <row r="130" spans="2:12" x14ac:dyDescent="0.25">
      <c r="B130" s="871"/>
      <c r="C130" s="872"/>
      <c r="D130" s="872"/>
      <c r="E130" s="872"/>
      <c r="F130" s="872"/>
      <c r="G130" s="873"/>
      <c r="H130" s="871"/>
      <c r="I130" s="872"/>
      <c r="J130" s="872"/>
      <c r="K130" s="872"/>
      <c r="L130" s="873"/>
    </row>
    <row r="131" spans="2:12" ht="15.75" thickBot="1" x14ac:dyDescent="0.3">
      <c r="B131" s="999"/>
      <c r="C131" s="1000"/>
      <c r="D131" s="1000"/>
      <c r="E131" s="1000"/>
      <c r="F131" s="1000"/>
      <c r="G131" s="1001"/>
      <c r="H131" s="999"/>
      <c r="I131" s="1000"/>
      <c r="J131" s="1000"/>
      <c r="K131" s="1000"/>
      <c r="L131" s="1001"/>
    </row>
    <row r="132" spans="2:12" x14ac:dyDescent="0.25">
      <c r="B132" s="991" t="s">
        <v>1308</v>
      </c>
      <c r="C132" s="992"/>
      <c r="D132" s="992"/>
      <c r="E132" s="992"/>
      <c r="F132" s="992"/>
      <c r="G132" s="993"/>
      <c r="H132" s="997" t="s">
        <v>1309</v>
      </c>
      <c r="I132" s="998"/>
      <c r="J132" s="998"/>
      <c r="K132" s="998"/>
      <c r="L132" s="998"/>
    </row>
    <row r="133" spans="2:12" ht="30" customHeight="1" thickBot="1" x14ac:dyDescent="0.3">
      <c r="B133" s="994"/>
      <c r="C133" s="995"/>
      <c r="D133" s="995"/>
      <c r="E133" s="995"/>
      <c r="F133" s="995"/>
      <c r="G133" s="996"/>
      <c r="H133" s="997"/>
      <c r="I133" s="998"/>
      <c r="J133" s="998"/>
      <c r="K133" s="998"/>
      <c r="L133" s="998"/>
    </row>
    <row r="134" spans="2:12" ht="15.75" customHeight="1" x14ac:dyDescent="0.25">
      <c r="B134" s="868"/>
      <c r="C134" s="869"/>
      <c r="D134" s="869"/>
      <c r="E134" s="869"/>
      <c r="F134" s="869"/>
      <c r="G134" s="870"/>
      <c r="H134" s="868"/>
      <c r="I134" s="869"/>
      <c r="J134" s="869"/>
      <c r="K134" s="869"/>
      <c r="L134" s="870"/>
    </row>
    <row r="135" spans="2:12" x14ac:dyDescent="0.25">
      <c r="B135" s="871"/>
      <c r="C135" s="872"/>
      <c r="D135" s="872"/>
      <c r="E135" s="872"/>
      <c r="F135" s="872"/>
      <c r="G135" s="873"/>
      <c r="H135" s="871"/>
      <c r="I135" s="872"/>
      <c r="J135" s="872"/>
      <c r="K135" s="872"/>
      <c r="L135" s="873"/>
    </row>
    <row r="136" spans="2:12" x14ac:dyDescent="0.25">
      <c r="B136" s="871"/>
      <c r="C136" s="872"/>
      <c r="D136" s="872"/>
      <c r="E136" s="872"/>
      <c r="F136" s="872"/>
      <c r="G136" s="873"/>
      <c r="H136" s="871"/>
      <c r="I136" s="872"/>
      <c r="J136" s="872"/>
      <c r="K136" s="872"/>
      <c r="L136" s="873"/>
    </row>
    <row r="137" spans="2:12" x14ac:dyDescent="0.25">
      <c r="B137" s="871"/>
      <c r="C137" s="872"/>
      <c r="D137" s="872"/>
      <c r="E137" s="872"/>
      <c r="F137" s="872"/>
      <c r="G137" s="873"/>
      <c r="H137" s="871"/>
      <c r="I137" s="872"/>
      <c r="J137" s="872"/>
      <c r="K137" s="872"/>
      <c r="L137" s="873"/>
    </row>
    <row r="138" spans="2:12" x14ac:dyDescent="0.25">
      <c r="B138" s="871"/>
      <c r="C138" s="872"/>
      <c r="D138" s="872"/>
      <c r="E138" s="872"/>
      <c r="F138" s="872"/>
      <c r="G138" s="873"/>
      <c r="H138" s="871"/>
      <c r="I138" s="872"/>
      <c r="J138" s="872"/>
      <c r="K138" s="872"/>
      <c r="L138" s="873"/>
    </row>
    <row r="139" spans="2:12" x14ac:dyDescent="0.25">
      <c r="B139" s="871"/>
      <c r="C139" s="872"/>
      <c r="D139" s="872"/>
      <c r="E139" s="872"/>
      <c r="F139" s="872"/>
      <c r="G139" s="873"/>
      <c r="H139" s="871"/>
      <c r="I139" s="872"/>
      <c r="J139" s="872"/>
      <c r="K139" s="872"/>
      <c r="L139" s="873"/>
    </row>
    <row r="140" spans="2:12" x14ac:dyDescent="0.25">
      <c r="B140" s="871"/>
      <c r="C140" s="872"/>
      <c r="D140" s="872"/>
      <c r="E140" s="872"/>
      <c r="F140" s="872"/>
      <c r="G140" s="873"/>
      <c r="H140" s="871"/>
      <c r="I140" s="872"/>
      <c r="J140" s="872"/>
      <c r="K140" s="872"/>
      <c r="L140" s="873"/>
    </row>
    <row r="141" spans="2:12" x14ac:dyDescent="0.25">
      <c r="B141" s="871"/>
      <c r="C141" s="872"/>
      <c r="D141" s="872"/>
      <c r="E141" s="872"/>
      <c r="F141" s="872"/>
      <c r="G141" s="873"/>
      <c r="H141" s="871"/>
      <c r="I141" s="872"/>
      <c r="J141" s="872"/>
      <c r="K141" s="872"/>
      <c r="L141" s="873"/>
    </row>
    <row r="142" spans="2:12" x14ac:dyDescent="0.25">
      <c r="B142" s="871"/>
      <c r="C142" s="872"/>
      <c r="D142" s="872"/>
      <c r="E142" s="872"/>
      <c r="F142" s="872"/>
      <c r="G142" s="873"/>
      <c r="H142" s="871"/>
      <c r="I142" s="872"/>
      <c r="J142" s="872"/>
      <c r="K142" s="872"/>
      <c r="L142" s="873"/>
    </row>
    <row r="143" spans="2:12" x14ac:dyDescent="0.25">
      <c r="B143" s="871"/>
      <c r="C143" s="872"/>
      <c r="D143" s="872"/>
      <c r="E143" s="872"/>
      <c r="F143" s="872"/>
      <c r="G143" s="873"/>
      <c r="H143" s="871"/>
      <c r="I143" s="872"/>
      <c r="J143" s="872"/>
      <c r="K143" s="872"/>
      <c r="L143" s="873"/>
    </row>
    <row r="144" spans="2:12" x14ac:dyDescent="0.25">
      <c r="B144" s="871"/>
      <c r="C144" s="872"/>
      <c r="D144" s="872"/>
      <c r="E144" s="872"/>
      <c r="F144" s="872"/>
      <c r="G144" s="873"/>
      <c r="H144" s="871"/>
      <c r="I144" s="872"/>
      <c r="J144" s="872"/>
      <c r="K144" s="872"/>
      <c r="L144" s="873"/>
    </row>
    <row r="145" spans="2:12" x14ac:dyDescent="0.25">
      <c r="B145" s="871"/>
      <c r="C145" s="872"/>
      <c r="D145" s="872"/>
      <c r="E145" s="872"/>
      <c r="F145" s="872"/>
      <c r="G145" s="873"/>
      <c r="H145" s="871"/>
      <c r="I145" s="872"/>
      <c r="J145" s="872"/>
      <c r="K145" s="872"/>
      <c r="L145" s="873"/>
    </row>
    <row r="146" spans="2:12" x14ac:dyDescent="0.25">
      <c r="B146" s="871"/>
      <c r="C146" s="872"/>
      <c r="D146" s="872"/>
      <c r="E146" s="872"/>
      <c r="F146" s="872"/>
      <c r="G146" s="873"/>
      <c r="H146" s="871"/>
      <c r="I146" s="872"/>
      <c r="J146" s="872"/>
      <c r="K146" s="872"/>
      <c r="L146" s="873"/>
    </row>
    <row r="147" spans="2:12" ht="15.75" thickBot="1" x14ac:dyDescent="0.3">
      <c r="B147" s="999"/>
      <c r="C147" s="1000"/>
      <c r="D147" s="1000"/>
      <c r="E147" s="1000"/>
      <c r="F147" s="1000"/>
      <c r="G147" s="1001"/>
      <c r="H147" s="999"/>
      <c r="I147" s="1000"/>
      <c r="J147" s="1000"/>
      <c r="K147" s="1000"/>
      <c r="L147" s="1001"/>
    </row>
    <row r="148" spans="2:12" x14ac:dyDescent="0.25">
      <c r="B148" s="991" t="s">
        <v>1310</v>
      </c>
      <c r="C148" s="992"/>
      <c r="D148" s="992"/>
      <c r="E148" s="992"/>
      <c r="F148" s="992"/>
      <c r="G148" s="993"/>
      <c r="H148" s="997" t="s">
        <v>1311</v>
      </c>
      <c r="I148" s="998"/>
      <c r="J148" s="998"/>
      <c r="K148" s="998"/>
      <c r="L148" s="998"/>
    </row>
    <row r="149" spans="2:12" ht="30" customHeight="1" thickBot="1" x14ac:dyDescent="0.3">
      <c r="B149" s="994"/>
      <c r="C149" s="995"/>
      <c r="D149" s="995"/>
      <c r="E149" s="995"/>
      <c r="F149" s="995"/>
      <c r="G149" s="996"/>
      <c r="H149" s="997"/>
      <c r="I149" s="998"/>
      <c r="J149" s="998"/>
      <c r="K149" s="998"/>
      <c r="L149" s="998"/>
    </row>
    <row r="150" spans="2:12" ht="15.75" customHeight="1" x14ac:dyDescent="0.25">
      <c r="B150" s="868"/>
      <c r="C150" s="869"/>
      <c r="D150" s="869"/>
      <c r="E150" s="869"/>
      <c r="F150" s="869"/>
      <c r="G150" s="870"/>
      <c r="H150" s="868"/>
      <c r="I150" s="869"/>
      <c r="J150" s="869"/>
      <c r="K150" s="869"/>
      <c r="L150" s="870"/>
    </row>
    <row r="151" spans="2:12" x14ac:dyDescent="0.25">
      <c r="B151" s="871"/>
      <c r="C151" s="872"/>
      <c r="D151" s="872"/>
      <c r="E151" s="872"/>
      <c r="F151" s="872"/>
      <c r="G151" s="873"/>
      <c r="H151" s="871"/>
      <c r="I151" s="872"/>
      <c r="J151" s="872"/>
      <c r="K151" s="872"/>
      <c r="L151" s="873"/>
    </row>
    <row r="152" spans="2:12" x14ac:dyDescent="0.25">
      <c r="B152" s="871"/>
      <c r="C152" s="872"/>
      <c r="D152" s="872"/>
      <c r="E152" s="872"/>
      <c r="F152" s="872"/>
      <c r="G152" s="873"/>
      <c r="H152" s="871"/>
      <c r="I152" s="872"/>
      <c r="J152" s="872"/>
      <c r="K152" s="872"/>
      <c r="L152" s="873"/>
    </row>
    <row r="153" spans="2:12" x14ac:dyDescent="0.25">
      <c r="B153" s="871"/>
      <c r="C153" s="872"/>
      <c r="D153" s="872"/>
      <c r="E153" s="872"/>
      <c r="F153" s="872"/>
      <c r="G153" s="873"/>
      <c r="H153" s="871"/>
      <c r="I153" s="872"/>
      <c r="J153" s="872"/>
      <c r="K153" s="872"/>
      <c r="L153" s="873"/>
    </row>
    <row r="154" spans="2:12" x14ac:dyDescent="0.25">
      <c r="B154" s="871"/>
      <c r="C154" s="872"/>
      <c r="D154" s="872"/>
      <c r="E154" s="872"/>
      <c r="F154" s="872"/>
      <c r="G154" s="873"/>
      <c r="H154" s="871"/>
      <c r="I154" s="872"/>
      <c r="J154" s="872"/>
      <c r="K154" s="872"/>
      <c r="L154" s="873"/>
    </row>
    <row r="155" spans="2:12" x14ac:dyDescent="0.25">
      <c r="B155" s="871"/>
      <c r="C155" s="872"/>
      <c r="D155" s="872"/>
      <c r="E155" s="872"/>
      <c r="F155" s="872"/>
      <c r="G155" s="873"/>
      <c r="H155" s="871"/>
      <c r="I155" s="872"/>
      <c r="J155" s="872"/>
      <c r="K155" s="872"/>
      <c r="L155" s="873"/>
    </row>
    <row r="156" spans="2:12" x14ac:dyDescent="0.25">
      <c r="B156" s="871"/>
      <c r="C156" s="872"/>
      <c r="D156" s="872"/>
      <c r="E156" s="872"/>
      <c r="F156" s="872"/>
      <c r="G156" s="873"/>
      <c r="H156" s="871"/>
      <c r="I156" s="872"/>
      <c r="J156" s="872"/>
      <c r="K156" s="872"/>
      <c r="L156" s="873"/>
    </row>
    <row r="157" spans="2:12" x14ac:dyDescent="0.25">
      <c r="B157" s="871"/>
      <c r="C157" s="872"/>
      <c r="D157" s="872"/>
      <c r="E157" s="872"/>
      <c r="F157" s="872"/>
      <c r="G157" s="873"/>
      <c r="H157" s="871"/>
      <c r="I157" s="872"/>
      <c r="J157" s="872"/>
      <c r="K157" s="872"/>
      <c r="L157" s="873"/>
    </row>
    <row r="158" spans="2:12" x14ac:dyDescent="0.25">
      <c r="B158" s="871"/>
      <c r="C158" s="872"/>
      <c r="D158" s="872"/>
      <c r="E158" s="872"/>
      <c r="F158" s="872"/>
      <c r="G158" s="873"/>
      <c r="H158" s="871"/>
      <c r="I158" s="872"/>
      <c r="J158" s="872"/>
      <c r="K158" s="872"/>
      <c r="L158" s="873"/>
    </row>
    <row r="159" spans="2:12" x14ac:dyDescent="0.25">
      <c r="B159" s="871"/>
      <c r="C159" s="872"/>
      <c r="D159" s="872"/>
      <c r="E159" s="872"/>
      <c r="F159" s="872"/>
      <c r="G159" s="873"/>
      <c r="H159" s="871"/>
      <c r="I159" s="872"/>
      <c r="J159" s="872"/>
      <c r="K159" s="872"/>
      <c r="L159" s="873"/>
    </row>
    <row r="160" spans="2:12" x14ac:dyDescent="0.25">
      <c r="B160" s="871"/>
      <c r="C160" s="872"/>
      <c r="D160" s="872"/>
      <c r="E160" s="872"/>
      <c r="F160" s="872"/>
      <c r="G160" s="873"/>
      <c r="H160" s="871"/>
      <c r="I160" s="872"/>
      <c r="J160" s="872"/>
      <c r="K160" s="872"/>
      <c r="L160" s="873"/>
    </row>
    <row r="161" spans="2:12" x14ac:dyDescent="0.25">
      <c r="B161" s="871"/>
      <c r="C161" s="872"/>
      <c r="D161" s="872"/>
      <c r="E161" s="872"/>
      <c r="F161" s="872"/>
      <c r="G161" s="873"/>
      <c r="H161" s="871"/>
      <c r="I161" s="872"/>
      <c r="J161" s="872"/>
      <c r="K161" s="872"/>
      <c r="L161" s="873"/>
    </row>
    <row r="162" spans="2:12" x14ac:dyDescent="0.25">
      <c r="B162" s="871"/>
      <c r="C162" s="872"/>
      <c r="D162" s="872"/>
      <c r="E162" s="872"/>
      <c r="F162" s="872"/>
      <c r="G162" s="873"/>
      <c r="H162" s="871"/>
      <c r="I162" s="872"/>
      <c r="J162" s="872"/>
      <c r="K162" s="872"/>
      <c r="L162" s="873"/>
    </row>
    <row r="163" spans="2:12" ht="15.75" thickBot="1" x14ac:dyDescent="0.3">
      <c r="B163" s="999"/>
      <c r="C163" s="1000"/>
      <c r="D163" s="1000"/>
      <c r="E163" s="1000"/>
      <c r="F163" s="1000"/>
      <c r="G163" s="1001"/>
      <c r="H163" s="999"/>
      <c r="I163" s="1000"/>
      <c r="J163" s="1000"/>
      <c r="K163" s="1000"/>
      <c r="L163" s="1001"/>
    </row>
    <row r="164" spans="2:12" x14ac:dyDescent="0.25">
      <c r="B164" s="991" t="s">
        <v>1312</v>
      </c>
      <c r="C164" s="992"/>
      <c r="D164" s="992"/>
      <c r="E164" s="992"/>
      <c r="F164" s="992"/>
      <c r="G164" s="993"/>
      <c r="H164" s="997" t="s">
        <v>1313</v>
      </c>
      <c r="I164" s="998"/>
      <c r="J164" s="998"/>
      <c r="K164" s="998"/>
      <c r="L164" s="998"/>
    </row>
    <row r="165" spans="2:12" ht="30" customHeight="1" thickBot="1" x14ac:dyDescent="0.3">
      <c r="B165" s="994"/>
      <c r="C165" s="995"/>
      <c r="D165" s="995"/>
      <c r="E165" s="995"/>
      <c r="F165" s="995"/>
      <c r="G165" s="996"/>
      <c r="H165" s="997"/>
      <c r="I165" s="998"/>
      <c r="J165" s="998"/>
      <c r="K165" s="998"/>
      <c r="L165" s="998"/>
    </row>
    <row r="166" spans="2:12" ht="15.75" customHeight="1" x14ac:dyDescent="0.25">
      <c r="B166" s="868"/>
      <c r="C166" s="869"/>
      <c r="D166" s="869"/>
      <c r="E166" s="869"/>
      <c r="F166" s="869"/>
      <c r="G166" s="870"/>
      <c r="H166" s="868"/>
      <c r="I166" s="869"/>
      <c r="J166" s="869"/>
      <c r="K166" s="869"/>
      <c r="L166" s="870"/>
    </row>
    <row r="167" spans="2:12" x14ac:dyDescent="0.25">
      <c r="B167" s="871"/>
      <c r="C167" s="872"/>
      <c r="D167" s="872"/>
      <c r="E167" s="872"/>
      <c r="F167" s="872"/>
      <c r="G167" s="873"/>
      <c r="H167" s="871"/>
      <c r="I167" s="872"/>
      <c r="J167" s="872"/>
      <c r="K167" s="872"/>
      <c r="L167" s="873"/>
    </row>
    <row r="168" spans="2:12" x14ac:dyDescent="0.25">
      <c r="B168" s="871"/>
      <c r="C168" s="872"/>
      <c r="D168" s="872"/>
      <c r="E168" s="872"/>
      <c r="F168" s="872"/>
      <c r="G168" s="873"/>
      <c r="H168" s="871"/>
      <c r="I168" s="872"/>
      <c r="J168" s="872"/>
      <c r="K168" s="872"/>
      <c r="L168" s="873"/>
    </row>
    <row r="169" spans="2:12" x14ac:dyDescent="0.25">
      <c r="B169" s="871"/>
      <c r="C169" s="872"/>
      <c r="D169" s="872"/>
      <c r="E169" s="872"/>
      <c r="F169" s="872"/>
      <c r="G169" s="873"/>
      <c r="H169" s="871"/>
      <c r="I169" s="872"/>
      <c r="J169" s="872"/>
      <c r="K169" s="872"/>
      <c r="L169" s="873"/>
    </row>
    <row r="170" spans="2:12" x14ac:dyDescent="0.25">
      <c r="B170" s="871"/>
      <c r="C170" s="872"/>
      <c r="D170" s="872"/>
      <c r="E170" s="872"/>
      <c r="F170" s="872"/>
      <c r="G170" s="873"/>
      <c r="H170" s="871"/>
      <c r="I170" s="872"/>
      <c r="J170" s="872"/>
      <c r="K170" s="872"/>
      <c r="L170" s="873"/>
    </row>
    <row r="171" spans="2:12" x14ac:dyDescent="0.25">
      <c r="B171" s="871"/>
      <c r="C171" s="872"/>
      <c r="D171" s="872"/>
      <c r="E171" s="872"/>
      <c r="F171" s="872"/>
      <c r="G171" s="873"/>
      <c r="H171" s="871"/>
      <c r="I171" s="872"/>
      <c r="J171" s="872"/>
      <c r="K171" s="872"/>
      <c r="L171" s="873"/>
    </row>
    <row r="172" spans="2:12" x14ac:dyDescent="0.25">
      <c r="B172" s="871"/>
      <c r="C172" s="872"/>
      <c r="D172" s="872"/>
      <c r="E172" s="872"/>
      <c r="F172" s="872"/>
      <c r="G172" s="873"/>
      <c r="H172" s="871"/>
      <c r="I172" s="872"/>
      <c r="J172" s="872"/>
      <c r="K172" s="872"/>
      <c r="L172" s="873"/>
    </row>
    <row r="173" spans="2:12" x14ac:dyDescent="0.25">
      <c r="B173" s="871"/>
      <c r="C173" s="872"/>
      <c r="D173" s="872"/>
      <c r="E173" s="872"/>
      <c r="F173" s="872"/>
      <c r="G173" s="873"/>
      <c r="H173" s="871"/>
      <c r="I173" s="872"/>
      <c r="J173" s="872"/>
      <c r="K173" s="872"/>
      <c r="L173" s="873"/>
    </row>
    <row r="174" spans="2:12" x14ac:dyDescent="0.25">
      <c r="B174" s="871"/>
      <c r="C174" s="872"/>
      <c r="D174" s="872"/>
      <c r="E174" s="872"/>
      <c r="F174" s="872"/>
      <c r="G174" s="873"/>
      <c r="H174" s="871"/>
      <c r="I174" s="872"/>
      <c r="J174" s="872"/>
      <c r="K174" s="872"/>
      <c r="L174" s="873"/>
    </row>
    <row r="175" spans="2:12" x14ac:dyDescent="0.25">
      <c r="B175" s="871"/>
      <c r="C175" s="872"/>
      <c r="D175" s="872"/>
      <c r="E175" s="872"/>
      <c r="F175" s="872"/>
      <c r="G175" s="873"/>
      <c r="H175" s="871"/>
      <c r="I175" s="872"/>
      <c r="J175" s="872"/>
      <c r="K175" s="872"/>
      <c r="L175" s="873"/>
    </row>
    <row r="176" spans="2:12" x14ac:dyDescent="0.25">
      <c r="B176" s="871"/>
      <c r="C176" s="872"/>
      <c r="D176" s="872"/>
      <c r="E176" s="872"/>
      <c r="F176" s="872"/>
      <c r="G176" s="873"/>
      <c r="H176" s="871"/>
      <c r="I176" s="872"/>
      <c r="J176" s="872"/>
      <c r="K176" s="872"/>
      <c r="L176" s="873"/>
    </row>
    <row r="177" spans="2:12" x14ac:dyDescent="0.25">
      <c r="B177" s="871"/>
      <c r="C177" s="872"/>
      <c r="D177" s="872"/>
      <c r="E177" s="872"/>
      <c r="F177" s="872"/>
      <c r="G177" s="873"/>
      <c r="H177" s="871"/>
      <c r="I177" s="872"/>
      <c r="J177" s="872"/>
      <c r="K177" s="872"/>
      <c r="L177" s="873"/>
    </row>
    <row r="178" spans="2:12" x14ac:dyDescent="0.25">
      <c r="B178" s="871"/>
      <c r="C178" s="872"/>
      <c r="D178" s="872"/>
      <c r="E178" s="872"/>
      <c r="F178" s="872"/>
      <c r="G178" s="873"/>
      <c r="H178" s="871"/>
      <c r="I178" s="872"/>
      <c r="J178" s="872"/>
      <c r="K178" s="872"/>
      <c r="L178" s="873"/>
    </row>
    <row r="179" spans="2:12" ht="15.75" thickBot="1" x14ac:dyDescent="0.3">
      <c r="B179" s="999"/>
      <c r="C179" s="1000"/>
      <c r="D179" s="1000"/>
      <c r="E179" s="1000"/>
      <c r="F179" s="1000"/>
      <c r="G179" s="1001"/>
      <c r="H179" s="999"/>
      <c r="I179" s="1000"/>
      <c r="J179" s="1000"/>
      <c r="K179" s="1000"/>
      <c r="L179" s="1001"/>
    </row>
    <row r="180" spans="2:12" x14ac:dyDescent="0.25">
      <c r="B180" s="991" t="s">
        <v>1314</v>
      </c>
      <c r="C180" s="992"/>
      <c r="D180" s="992"/>
      <c r="E180" s="992"/>
      <c r="F180" s="992"/>
      <c r="G180" s="993"/>
      <c r="H180" s="997" t="s">
        <v>1315</v>
      </c>
      <c r="I180" s="998"/>
      <c r="J180" s="998"/>
      <c r="K180" s="998"/>
      <c r="L180" s="998"/>
    </row>
    <row r="181" spans="2:12" ht="30" customHeight="1" thickBot="1" x14ac:dyDescent="0.3">
      <c r="B181" s="994"/>
      <c r="C181" s="995"/>
      <c r="D181" s="995"/>
      <c r="E181" s="995"/>
      <c r="F181" s="995"/>
      <c r="G181" s="996"/>
      <c r="H181" s="997"/>
      <c r="I181" s="998"/>
      <c r="J181" s="998"/>
      <c r="K181" s="998"/>
      <c r="L181" s="998"/>
    </row>
    <row r="182" spans="2:12" ht="15.75" customHeight="1" x14ac:dyDescent="0.25">
      <c r="B182" s="868"/>
      <c r="C182" s="869"/>
      <c r="D182" s="869"/>
      <c r="E182" s="869"/>
      <c r="F182" s="869"/>
      <c r="G182" s="870"/>
      <c r="H182" s="868"/>
      <c r="I182" s="869"/>
      <c r="J182" s="869"/>
      <c r="K182" s="869"/>
      <c r="L182" s="870"/>
    </row>
    <row r="183" spans="2:12" x14ac:dyDescent="0.25">
      <c r="B183" s="871"/>
      <c r="C183" s="872"/>
      <c r="D183" s="872"/>
      <c r="E183" s="872"/>
      <c r="F183" s="872"/>
      <c r="G183" s="873"/>
      <c r="H183" s="871"/>
      <c r="I183" s="872"/>
      <c r="J183" s="872"/>
      <c r="K183" s="872"/>
      <c r="L183" s="873"/>
    </row>
    <row r="184" spans="2:12" x14ac:dyDescent="0.25">
      <c r="B184" s="871"/>
      <c r="C184" s="872"/>
      <c r="D184" s="872"/>
      <c r="E184" s="872"/>
      <c r="F184" s="872"/>
      <c r="G184" s="873"/>
      <c r="H184" s="871"/>
      <c r="I184" s="872"/>
      <c r="J184" s="872"/>
      <c r="K184" s="872"/>
      <c r="L184" s="873"/>
    </row>
    <row r="185" spans="2:12" x14ac:dyDescent="0.25">
      <c r="B185" s="871"/>
      <c r="C185" s="872"/>
      <c r="D185" s="872"/>
      <c r="E185" s="872"/>
      <c r="F185" s="872"/>
      <c r="G185" s="873"/>
      <c r="H185" s="871"/>
      <c r="I185" s="872"/>
      <c r="J185" s="872"/>
      <c r="K185" s="872"/>
      <c r="L185" s="873"/>
    </row>
    <row r="186" spans="2:12" x14ac:dyDescent="0.25">
      <c r="B186" s="871"/>
      <c r="C186" s="872"/>
      <c r="D186" s="872"/>
      <c r="E186" s="872"/>
      <c r="F186" s="872"/>
      <c r="G186" s="873"/>
      <c r="H186" s="871"/>
      <c r="I186" s="872"/>
      <c r="J186" s="872"/>
      <c r="K186" s="872"/>
      <c r="L186" s="873"/>
    </row>
    <row r="187" spans="2:12" x14ac:dyDescent="0.25">
      <c r="B187" s="871"/>
      <c r="C187" s="872"/>
      <c r="D187" s="872"/>
      <c r="E187" s="872"/>
      <c r="F187" s="872"/>
      <c r="G187" s="873"/>
      <c r="H187" s="871"/>
      <c r="I187" s="872"/>
      <c r="J187" s="872"/>
      <c r="K187" s="872"/>
      <c r="L187" s="873"/>
    </row>
    <row r="188" spans="2:12" x14ac:dyDescent="0.25">
      <c r="B188" s="871"/>
      <c r="C188" s="872"/>
      <c r="D188" s="872"/>
      <c r="E188" s="872"/>
      <c r="F188" s="872"/>
      <c r="G188" s="873"/>
      <c r="H188" s="871"/>
      <c r="I188" s="872"/>
      <c r="J188" s="872"/>
      <c r="K188" s="872"/>
      <c r="L188" s="873"/>
    </row>
    <row r="189" spans="2:12" x14ac:dyDescent="0.25">
      <c r="B189" s="871"/>
      <c r="C189" s="872"/>
      <c r="D189" s="872"/>
      <c r="E189" s="872"/>
      <c r="F189" s="872"/>
      <c r="G189" s="873"/>
      <c r="H189" s="871"/>
      <c r="I189" s="872"/>
      <c r="J189" s="872"/>
      <c r="K189" s="872"/>
      <c r="L189" s="873"/>
    </row>
    <row r="190" spans="2:12" x14ac:dyDescent="0.25">
      <c r="B190" s="871"/>
      <c r="C190" s="872"/>
      <c r="D190" s="872"/>
      <c r="E190" s="872"/>
      <c r="F190" s="872"/>
      <c r="G190" s="873"/>
      <c r="H190" s="871"/>
      <c r="I190" s="872"/>
      <c r="J190" s="872"/>
      <c r="K190" s="872"/>
      <c r="L190" s="873"/>
    </row>
    <row r="191" spans="2:12" x14ac:dyDescent="0.25">
      <c r="B191" s="871"/>
      <c r="C191" s="872"/>
      <c r="D191" s="872"/>
      <c r="E191" s="872"/>
      <c r="F191" s="872"/>
      <c r="G191" s="873"/>
      <c r="H191" s="871"/>
      <c r="I191" s="872"/>
      <c r="J191" s="872"/>
      <c r="K191" s="872"/>
      <c r="L191" s="873"/>
    </row>
    <row r="192" spans="2:12" x14ac:dyDescent="0.25">
      <c r="B192" s="871"/>
      <c r="C192" s="872"/>
      <c r="D192" s="872"/>
      <c r="E192" s="872"/>
      <c r="F192" s="872"/>
      <c r="G192" s="873"/>
      <c r="H192" s="871"/>
      <c r="I192" s="872"/>
      <c r="J192" s="872"/>
      <c r="K192" s="872"/>
      <c r="L192" s="873"/>
    </row>
    <row r="193" spans="2:12" x14ac:dyDescent="0.25">
      <c r="B193" s="871"/>
      <c r="C193" s="872"/>
      <c r="D193" s="872"/>
      <c r="E193" s="872"/>
      <c r="F193" s="872"/>
      <c r="G193" s="873"/>
      <c r="H193" s="871"/>
      <c r="I193" s="872"/>
      <c r="J193" s="872"/>
      <c r="K193" s="872"/>
      <c r="L193" s="873"/>
    </row>
    <row r="194" spans="2:12" x14ac:dyDescent="0.25">
      <c r="B194" s="871"/>
      <c r="C194" s="872"/>
      <c r="D194" s="872"/>
      <c r="E194" s="872"/>
      <c r="F194" s="872"/>
      <c r="G194" s="873"/>
      <c r="H194" s="871"/>
      <c r="I194" s="872"/>
      <c r="J194" s="872"/>
      <c r="K194" s="872"/>
      <c r="L194" s="873"/>
    </row>
    <row r="195" spans="2:12" ht="15.75" thickBot="1" x14ac:dyDescent="0.3">
      <c r="B195" s="999"/>
      <c r="C195" s="1000"/>
      <c r="D195" s="1000"/>
      <c r="E195" s="1000"/>
      <c r="F195" s="1000"/>
      <c r="G195" s="1001"/>
      <c r="H195" s="999"/>
      <c r="I195" s="1000"/>
      <c r="J195" s="1000"/>
      <c r="K195" s="1000"/>
      <c r="L195" s="1001"/>
    </row>
    <row r="196" spans="2:12" x14ac:dyDescent="0.25">
      <c r="B196" s="991" t="s">
        <v>1316</v>
      </c>
      <c r="C196" s="992"/>
      <c r="D196" s="992"/>
      <c r="E196" s="992"/>
      <c r="F196" s="992"/>
      <c r="G196" s="993"/>
      <c r="H196" s="997" t="s">
        <v>1317</v>
      </c>
      <c r="I196" s="998"/>
      <c r="J196" s="998"/>
      <c r="K196" s="998"/>
      <c r="L196" s="998"/>
    </row>
    <row r="197" spans="2:12" ht="30" customHeight="1" thickBot="1" x14ac:dyDescent="0.3">
      <c r="B197" s="994"/>
      <c r="C197" s="995"/>
      <c r="D197" s="995"/>
      <c r="E197" s="995"/>
      <c r="F197" s="995"/>
      <c r="G197" s="996"/>
      <c r="H197" s="997"/>
      <c r="I197" s="998"/>
      <c r="J197" s="998"/>
      <c r="K197" s="998"/>
      <c r="L197" s="998"/>
    </row>
  </sheetData>
  <mergeCells count="55">
    <mergeCell ref="B1:L2"/>
    <mergeCell ref="B3:E3"/>
    <mergeCell ref="G3:I3"/>
    <mergeCell ref="J3:L3"/>
    <mergeCell ref="B4:H5"/>
    <mergeCell ref="K4:L4"/>
    <mergeCell ref="K5:L5"/>
    <mergeCell ref="B6:G19"/>
    <mergeCell ref="H6:L19"/>
    <mergeCell ref="B20:G21"/>
    <mergeCell ref="H20:M21"/>
    <mergeCell ref="B22:G35"/>
    <mergeCell ref="H22:L35"/>
    <mergeCell ref="B36:G37"/>
    <mergeCell ref="H36:M37"/>
    <mergeCell ref="B38:G51"/>
    <mergeCell ref="H38:L51"/>
    <mergeCell ref="B52:G53"/>
    <mergeCell ref="H52:M53"/>
    <mergeCell ref="B54:G67"/>
    <mergeCell ref="H54:L67"/>
    <mergeCell ref="B68:G69"/>
    <mergeCell ref="H68:M69"/>
    <mergeCell ref="B70:G83"/>
    <mergeCell ref="H70:L83"/>
    <mergeCell ref="B84:G85"/>
    <mergeCell ref="H84:M85"/>
    <mergeCell ref="B86:G99"/>
    <mergeCell ref="H86:L99"/>
    <mergeCell ref="B100:G101"/>
    <mergeCell ref="H100:M101"/>
    <mergeCell ref="B102:G115"/>
    <mergeCell ref="H102:L115"/>
    <mergeCell ref="B116:G117"/>
    <mergeCell ref="H116:L117"/>
    <mergeCell ref="B118:G131"/>
    <mergeCell ref="H118:L131"/>
    <mergeCell ref="B132:G133"/>
    <mergeCell ref="H132:L133"/>
    <mergeCell ref="B134:G147"/>
    <mergeCell ref="H134:L147"/>
    <mergeCell ref="B148:G149"/>
    <mergeCell ref="H148:L149"/>
    <mergeCell ref="B150:G163"/>
    <mergeCell ref="H150:L163"/>
    <mergeCell ref="B164:G165"/>
    <mergeCell ref="H164:L165"/>
    <mergeCell ref="B166:G179"/>
    <mergeCell ref="H166:L179"/>
    <mergeCell ref="B180:G181"/>
    <mergeCell ref="H180:L181"/>
    <mergeCell ref="B182:G195"/>
    <mergeCell ref="H182:L195"/>
    <mergeCell ref="B196:G197"/>
    <mergeCell ref="H196:L197"/>
  </mergeCells>
  <printOptions horizontalCentered="1" verticalCentered="1"/>
  <pageMargins left="0.23622047244094491" right="0.23622047244094491" top="0.74803149606299213" bottom="0.74803149606299213" header="0.31496062992125984" footer="0.31496062992125984"/>
  <pageSetup scale="46" orientation="portrait" r:id="rId1"/>
  <headerFooter>
    <oddFooter>Página &amp;P&amp;R&amp;A</oddFooter>
  </headerFooter>
  <colBreaks count="1" manualBreakCount="1">
    <brk id="7" max="196" man="1"/>
  </col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K620"/>
  <sheetViews>
    <sheetView zoomScale="85" zoomScaleNormal="85" workbookViewId="0">
      <selection activeCell="A4" sqref="A4:G5"/>
    </sheetView>
  </sheetViews>
  <sheetFormatPr baseColWidth="10" defaultColWidth="11.5703125" defaultRowHeight="15" x14ac:dyDescent="0.25"/>
  <cols>
    <col min="1" max="4" width="11.5703125" style="129"/>
    <col min="5" max="5" width="13.42578125" style="129" customWidth="1"/>
    <col min="6" max="6" width="7.42578125" style="129" customWidth="1"/>
    <col min="7" max="7" width="11.5703125" style="129"/>
    <col min="8" max="8" width="20" style="129" customWidth="1"/>
    <col min="9" max="16384" width="11.5703125" style="129"/>
  </cols>
  <sheetData>
    <row r="1" spans="1:11" x14ac:dyDescent="0.25">
      <c r="A1" s="981" t="s">
        <v>251</v>
      </c>
      <c r="B1" s="874"/>
      <c r="C1" s="874"/>
      <c r="D1" s="874"/>
      <c r="E1" s="874"/>
      <c r="F1" s="874"/>
      <c r="G1" s="874"/>
      <c r="H1" s="874"/>
      <c r="I1" s="874"/>
      <c r="J1" s="874"/>
      <c r="K1" s="929"/>
    </row>
    <row r="2" spans="1:11" ht="28.5" customHeight="1" x14ac:dyDescent="0.25">
      <c r="A2" s="982"/>
      <c r="B2" s="875"/>
      <c r="C2" s="875"/>
      <c r="D2" s="875"/>
      <c r="E2" s="875"/>
      <c r="F2" s="875"/>
      <c r="G2" s="875"/>
      <c r="H2" s="875"/>
      <c r="I2" s="875"/>
      <c r="J2" s="875"/>
      <c r="K2" s="931"/>
    </row>
    <row r="3" spans="1:11" x14ac:dyDescent="0.25">
      <c r="A3" s="934" t="s">
        <v>289</v>
      </c>
      <c r="B3" s="932"/>
      <c r="C3" s="932"/>
      <c r="D3" s="933"/>
      <c r="E3" s="97">
        <v>44245</v>
      </c>
      <c r="F3" s="934" t="s">
        <v>290</v>
      </c>
      <c r="G3" s="932"/>
      <c r="H3" s="933"/>
      <c r="I3" s="935">
        <v>44251</v>
      </c>
      <c r="J3" s="932"/>
      <c r="K3" s="933"/>
    </row>
    <row r="4" spans="1:11" ht="24" x14ac:dyDescent="0.25">
      <c r="A4" s="985" t="s">
        <v>250</v>
      </c>
      <c r="B4" s="936"/>
      <c r="C4" s="936"/>
      <c r="D4" s="936"/>
      <c r="E4" s="936"/>
      <c r="F4" s="936"/>
      <c r="G4" s="937"/>
      <c r="H4" s="355" t="s">
        <v>489</v>
      </c>
      <c r="I4" s="355" t="s">
        <v>2</v>
      </c>
      <c r="J4" s="887" t="s">
        <v>0</v>
      </c>
      <c r="K4" s="940"/>
    </row>
    <row r="5" spans="1:11" ht="24.75" thickBot="1" x14ac:dyDescent="0.3">
      <c r="A5" s="1042"/>
      <c r="B5" s="938"/>
      <c r="C5" s="938"/>
      <c r="D5" s="938"/>
      <c r="E5" s="938"/>
      <c r="F5" s="938"/>
      <c r="G5" s="939"/>
      <c r="H5" s="292" t="s">
        <v>490</v>
      </c>
      <c r="I5" s="355">
        <v>2</v>
      </c>
      <c r="J5" s="887" t="s">
        <v>291</v>
      </c>
      <c r="K5" s="940"/>
    </row>
    <row r="6" spans="1:11" ht="15.75" hidden="1" thickBot="1" x14ac:dyDescent="0.3">
      <c r="A6" s="889" t="s">
        <v>452</v>
      </c>
      <c r="B6" s="890"/>
      <c r="C6" s="890"/>
      <c r="D6" s="890"/>
      <c r="E6" s="890"/>
      <c r="F6" s="891"/>
      <c r="G6" s="889" t="s">
        <v>453</v>
      </c>
      <c r="H6" s="890"/>
      <c r="I6" s="890"/>
      <c r="J6" s="890"/>
      <c r="K6" s="891"/>
    </row>
    <row r="7" spans="1:11" ht="15.75" hidden="1" thickBot="1" x14ac:dyDescent="0.3">
      <c r="A7" s="889"/>
      <c r="B7" s="890"/>
      <c r="C7" s="890"/>
      <c r="D7" s="890"/>
      <c r="E7" s="890"/>
      <c r="F7" s="891"/>
      <c r="G7" s="889"/>
      <c r="H7" s="890"/>
      <c r="I7" s="890"/>
      <c r="J7" s="890"/>
      <c r="K7" s="891"/>
    </row>
    <row r="8" spans="1:11" ht="15.75" hidden="1" thickBot="1" x14ac:dyDescent="0.3">
      <c r="A8" s="889"/>
      <c r="B8" s="890"/>
      <c r="C8" s="890"/>
      <c r="D8" s="890"/>
      <c r="E8" s="890"/>
      <c r="F8" s="891"/>
      <c r="G8" s="889"/>
      <c r="H8" s="890"/>
      <c r="I8" s="890"/>
      <c r="J8" s="890"/>
      <c r="K8" s="891"/>
    </row>
    <row r="9" spans="1:11" ht="15.75" hidden="1" thickBot="1" x14ac:dyDescent="0.3">
      <c r="A9" s="889"/>
      <c r="B9" s="890"/>
      <c r="C9" s="890"/>
      <c r="D9" s="890"/>
      <c r="E9" s="890"/>
      <c r="F9" s="891"/>
      <c r="G9" s="889"/>
      <c r="H9" s="890"/>
      <c r="I9" s="890"/>
      <c r="J9" s="890"/>
      <c r="K9" s="891"/>
    </row>
    <row r="10" spans="1:11" ht="15.75" hidden="1" thickBot="1" x14ac:dyDescent="0.3">
      <c r="A10" s="889"/>
      <c r="B10" s="890"/>
      <c r="C10" s="890"/>
      <c r="D10" s="890"/>
      <c r="E10" s="890"/>
      <c r="F10" s="891"/>
      <c r="G10" s="889"/>
      <c r="H10" s="890"/>
      <c r="I10" s="890"/>
      <c r="J10" s="890"/>
      <c r="K10" s="891"/>
    </row>
    <row r="11" spans="1:11" ht="15.75" hidden="1" thickBot="1" x14ac:dyDescent="0.3">
      <c r="A11" s="889"/>
      <c r="B11" s="890"/>
      <c r="C11" s="890"/>
      <c r="D11" s="890"/>
      <c r="E11" s="890"/>
      <c r="F11" s="891"/>
      <c r="G11" s="889"/>
      <c r="H11" s="890"/>
      <c r="I11" s="890"/>
      <c r="J11" s="890"/>
      <c r="K11" s="891"/>
    </row>
    <row r="12" spans="1:11" ht="15.75" hidden="1" thickBot="1" x14ac:dyDescent="0.3">
      <c r="A12" s="889"/>
      <c r="B12" s="890"/>
      <c r="C12" s="890"/>
      <c r="D12" s="890"/>
      <c r="E12" s="890"/>
      <c r="F12" s="891"/>
      <c r="G12" s="889"/>
      <c r="H12" s="890"/>
      <c r="I12" s="890"/>
      <c r="J12" s="890"/>
      <c r="K12" s="891"/>
    </row>
    <row r="13" spans="1:11" ht="15.75" hidden="1" thickBot="1" x14ac:dyDescent="0.3">
      <c r="A13" s="889"/>
      <c r="B13" s="890"/>
      <c r="C13" s="890"/>
      <c r="D13" s="890"/>
      <c r="E13" s="890"/>
      <c r="F13" s="891"/>
      <c r="G13" s="889"/>
      <c r="H13" s="890"/>
      <c r="I13" s="890"/>
      <c r="J13" s="890"/>
      <c r="K13" s="891"/>
    </row>
    <row r="14" spans="1:11" ht="15.75" hidden="1" thickBot="1" x14ac:dyDescent="0.3">
      <c r="A14" s="889"/>
      <c r="B14" s="890"/>
      <c r="C14" s="890"/>
      <c r="D14" s="890"/>
      <c r="E14" s="890"/>
      <c r="F14" s="891"/>
      <c r="G14" s="889"/>
      <c r="H14" s="890"/>
      <c r="I14" s="890"/>
      <c r="J14" s="890"/>
      <c r="K14" s="891"/>
    </row>
    <row r="15" spans="1:11" ht="15.75" hidden="1" thickBot="1" x14ac:dyDescent="0.3">
      <c r="A15" s="889"/>
      <c r="B15" s="890"/>
      <c r="C15" s="890"/>
      <c r="D15" s="890"/>
      <c r="E15" s="890"/>
      <c r="F15" s="891"/>
      <c r="G15" s="889"/>
      <c r="H15" s="890"/>
      <c r="I15" s="890"/>
      <c r="J15" s="890"/>
      <c r="K15" s="891"/>
    </row>
    <row r="16" spans="1:11" ht="15.75" hidden="1" thickBot="1" x14ac:dyDescent="0.3">
      <c r="A16" s="889"/>
      <c r="B16" s="890"/>
      <c r="C16" s="890"/>
      <c r="D16" s="890"/>
      <c r="E16" s="890"/>
      <c r="F16" s="891"/>
      <c r="G16" s="889"/>
      <c r="H16" s="890"/>
      <c r="I16" s="890"/>
      <c r="J16" s="890"/>
      <c r="K16" s="891"/>
    </row>
    <row r="17" spans="1:11" ht="15.75" hidden="1" thickBot="1" x14ac:dyDescent="0.3">
      <c r="A17" s="889"/>
      <c r="B17" s="890"/>
      <c r="C17" s="890"/>
      <c r="D17" s="890"/>
      <c r="E17" s="890"/>
      <c r="F17" s="891"/>
      <c r="G17" s="889"/>
      <c r="H17" s="890"/>
      <c r="I17" s="890"/>
      <c r="J17" s="890"/>
      <c r="K17" s="891"/>
    </row>
    <row r="18" spans="1:11" ht="15.75" hidden="1" thickBot="1" x14ac:dyDescent="0.3">
      <c r="A18" s="889"/>
      <c r="B18" s="890"/>
      <c r="C18" s="890"/>
      <c r="D18" s="890"/>
      <c r="E18" s="890"/>
      <c r="F18" s="891"/>
      <c r="G18" s="889"/>
      <c r="H18" s="890"/>
      <c r="I18" s="890"/>
      <c r="J18" s="890"/>
      <c r="K18" s="891"/>
    </row>
    <row r="19" spans="1:11" ht="15.75" hidden="1" thickBot="1" x14ac:dyDescent="0.3">
      <c r="A19" s="889"/>
      <c r="B19" s="890"/>
      <c r="C19" s="890"/>
      <c r="D19" s="890"/>
      <c r="E19" s="890"/>
      <c r="F19" s="891"/>
      <c r="G19" s="889"/>
      <c r="H19" s="890"/>
      <c r="I19" s="890"/>
      <c r="J19" s="890"/>
      <c r="K19" s="891"/>
    </row>
    <row r="20" spans="1:11" ht="15.75" hidden="1" thickBot="1" x14ac:dyDescent="0.3">
      <c r="A20" s="1036" t="s">
        <v>544</v>
      </c>
      <c r="B20" s="1037"/>
      <c r="C20" s="1037"/>
      <c r="D20" s="1037"/>
      <c r="E20" s="1037"/>
      <c r="F20" s="1038"/>
      <c r="G20" s="1025" t="s">
        <v>551</v>
      </c>
      <c r="H20" s="1031"/>
      <c r="I20" s="1031"/>
      <c r="J20" s="1031"/>
      <c r="K20" s="1032"/>
    </row>
    <row r="21" spans="1:11" ht="15.75" hidden="1" thickBot="1" x14ac:dyDescent="0.3">
      <c r="A21" s="1039"/>
      <c r="B21" s="1040"/>
      <c r="C21" s="1040"/>
      <c r="D21" s="1040"/>
      <c r="E21" s="1040"/>
      <c r="F21" s="1041"/>
      <c r="G21" s="1033"/>
      <c r="H21" s="1034"/>
      <c r="I21" s="1034"/>
      <c r="J21" s="1034"/>
      <c r="K21" s="1035"/>
    </row>
    <row r="22" spans="1:11" ht="15.75" hidden="1" thickBot="1" x14ac:dyDescent="0.3">
      <c r="A22" s="904" t="s">
        <v>501</v>
      </c>
      <c r="B22" s="905"/>
      <c r="C22" s="905"/>
      <c r="D22" s="905"/>
      <c r="E22" s="905"/>
      <c r="F22" s="906"/>
      <c r="G22" s="904" t="s">
        <v>502</v>
      </c>
      <c r="H22" s="905"/>
      <c r="I22" s="905"/>
      <c r="J22" s="905"/>
      <c r="K22" s="906"/>
    </row>
    <row r="23" spans="1:11" ht="15.75" hidden="1" thickBot="1" x14ac:dyDescent="0.3">
      <c r="A23" s="889"/>
      <c r="B23" s="890"/>
      <c r="C23" s="890"/>
      <c r="D23" s="890"/>
      <c r="E23" s="890"/>
      <c r="F23" s="891"/>
      <c r="G23" s="889"/>
      <c r="H23" s="890"/>
      <c r="I23" s="890"/>
      <c r="J23" s="890"/>
      <c r="K23" s="891"/>
    </row>
    <row r="24" spans="1:11" ht="15.75" hidden="1" thickBot="1" x14ac:dyDescent="0.3">
      <c r="A24" s="889"/>
      <c r="B24" s="890"/>
      <c r="C24" s="890"/>
      <c r="D24" s="890"/>
      <c r="E24" s="890"/>
      <c r="F24" s="891"/>
      <c r="G24" s="889"/>
      <c r="H24" s="890"/>
      <c r="I24" s="890"/>
      <c r="J24" s="890"/>
      <c r="K24" s="891"/>
    </row>
    <row r="25" spans="1:11" ht="15.75" hidden="1" thickBot="1" x14ac:dyDescent="0.3">
      <c r="A25" s="889"/>
      <c r="B25" s="890"/>
      <c r="C25" s="890"/>
      <c r="D25" s="890"/>
      <c r="E25" s="890"/>
      <c r="F25" s="891"/>
      <c r="G25" s="889"/>
      <c r="H25" s="890"/>
      <c r="I25" s="890"/>
      <c r="J25" s="890"/>
      <c r="K25" s="891"/>
    </row>
    <row r="26" spans="1:11" ht="15.75" hidden="1" thickBot="1" x14ac:dyDescent="0.3">
      <c r="A26" s="889"/>
      <c r="B26" s="890"/>
      <c r="C26" s="890"/>
      <c r="D26" s="890"/>
      <c r="E26" s="890"/>
      <c r="F26" s="891"/>
      <c r="G26" s="889"/>
      <c r="H26" s="890"/>
      <c r="I26" s="890"/>
      <c r="J26" s="890"/>
      <c r="K26" s="891"/>
    </row>
    <row r="27" spans="1:11" ht="15.75" hidden="1" thickBot="1" x14ac:dyDescent="0.3">
      <c r="A27" s="889"/>
      <c r="B27" s="890"/>
      <c r="C27" s="890"/>
      <c r="D27" s="890"/>
      <c r="E27" s="890"/>
      <c r="F27" s="891"/>
      <c r="G27" s="889"/>
      <c r="H27" s="890"/>
      <c r="I27" s="890"/>
      <c r="J27" s="890"/>
      <c r="K27" s="891"/>
    </row>
    <row r="28" spans="1:11" ht="15.75" hidden="1" thickBot="1" x14ac:dyDescent="0.3">
      <c r="A28" s="889"/>
      <c r="B28" s="890"/>
      <c r="C28" s="890"/>
      <c r="D28" s="890"/>
      <c r="E28" s="890"/>
      <c r="F28" s="891"/>
      <c r="G28" s="889"/>
      <c r="H28" s="890"/>
      <c r="I28" s="890"/>
      <c r="J28" s="890"/>
      <c r="K28" s="891"/>
    </row>
    <row r="29" spans="1:11" ht="15.75" hidden="1" thickBot="1" x14ac:dyDescent="0.3">
      <c r="A29" s="889"/>
      <c r="B29" s="890"/>
      <c r="C29" s="890"/>
      <c r="D29" s="890"/>
      <c r="E29" s="890"/>
      <c r="F29" s="891"/>
      <c r="G29" s="889"/>
      <c r="H29" s="890"/>
      <c r="I29" s="890"/>
      <c r="J29" s="890"/>
      <c r="K29" s="891"/>
    </row>
    <row r="30" spans="1:11" ht="15.75" hidden="1" thickBot="1" x14ac:dyDescent="0.3">
      <c r="A30" s="889"/>
      <c r="B30" s="890"/>
      <c r="C30" s="890"/>
      <c r="D30" s="890"/>
      <c r="E30" s="890"/>
      <c r="F30" s="891"/>
      <c r="G30" s="889"/>
      <c r="H30" s="890"/>
      <c r="I30" s="890"/>
      <c r="J30" s="890"/>
      <c r="K30" s="891"/>
    </row>
    <row r="31" spans="1:11" ht="15.75" hidden="1" thickBot="1" x14ac:dyDescent="0.3">
      <c r="A31" s="889"/>
      <c r="B31" s="890"/>
      <c r="C31" s="890"/>
      <c r="D31" s="890"/>
      <c r="E31" s="890"/>
      <c r="F31" s="891"/>
      <c r="G31" s="889"/>
      <c r="H31" s="890"/>
      <c r="I31" s="890"/>
      <c r="J31" s="890"/>
      <c r="K31" s="891"/>
    </row>
    <row r="32" spans="1:11" ht="15.75" hidden="1" thickBot="1" x14ac:dyDescent="0.3">
      <c r="A32" s="889"/>
      <c r="B32" s="890"/>
      <c r="C32" s="890"/>
      <c r="D32" s="890"/>
      <c r="E32" s="890"/>
      <c r="F32" s="891"/>
      <c r="G32" s="889"/>
      <c r="H32" s="890"/>
      <c r="I32" s="890"/>
      <c r="J32" s="890"/>
      <c r="K32" s="891"/>
    </row>
    <row r="33" spans="1:11" ht="15.75" hidden="1" thickBot="1" x14ac:dyDescent="0.3">
      <c r="A33" s="889"/>
      <c r="B33" s="890"/>
      <c r="C33" s="890"/>
      <c r="D33" s="890"/>
      <c r="E33" s="890"/>
      <c r="F33" s="891"/>
      <c r="G33" s="889"/>
      <c r="H33" s="890"/>
      <c r="I33" s="890"/>
      <c r="J33" s="890"/>
      <c r="K33" s="891"/>
    </row>
    <row r="34" spans="1:11" ht="15.75" hidden="1" thickBot="1" x14ac:dyDescent="0.3">
      <c r="A34" s="889"/>
      <c r="B34" s="890"/>
      <c r="C34" s="890"/>
      <c r="D34" s="890"/>
      <c r="E34" s="890"/>
      <c r="F34" s="891"/>
      <c r="G34" s="889"/>
      <c r="H34" s="890"/>
      <c r="I34" s="890"/>
      <c r="J34" s="890"/>
      <c r="K34" s="891"/>
    </row>
    <row r="35" spans="1:11" ht="15.75" hidden="1" thickBot="1" x14ac:dyDescent="0.3">
      <c r="A35" s="889"/>
      <c r="B35" s="890"/>
      <c r="C35" s="890"/>
      <c r="D35" s="890"/>
      <c r="E35" s="890"/>
      <c r="F35" s="891"/>
      <c r="G35" s="889"/>
      <c r="H35" s="890"/>
      <c r="I35" s="890"/>
      <c r="J35" s="890"/>
      <c r="K35" s="891"/>
    </row>
    <row r="36" spans="1:11" ht="15.75" hidden="1" thickBot="1" x14ac:dyDescent="0.3">
      <c r="A36" s="1036" t="s">
        <v>528</v>
      </c>
      <c r="B36" s="1037"/>
      <c r="C36" s="1037"/>
      <c r="D36" s="1037"/>
      <c r="E36" s="1037"/>
      <c r="F36" s="1038"/>
      <c r="G36" s="1025" t="s">
        <v>532</v>
      </c>
      <c r="H36" s="1031"/>
      <c r="I36" s="1031"/>
      <c r="J36" s="1031"/>
      <c r="K36" s="1032"/>
    </row>
    <row r="37" spans="1:11" ht="15.75" hidden="1" thickBot="1" x14ac:dyDescent="0.3">
      <c r="A37" s="1039"/>
      <c r="B37" s="1040"/>
      <c r="C37" s="1040"/>
      <c r="D37" s="1040"/>
      <c r="E37" s="1040"/>
      <c r="F37" s="1041"/>
      <c r="G37" s="1033"/>
      <c r="H37" s="1034"/>
      <c r="I37" s="1034"/>
      <c r="J37" s="1034"/>
      <c r="K37" s="1035"/>
    </row>
    <row r="38" spans="1:11" ht="15.75" hidden="1" thickBot="1" x14ac:dyDescent="0.3">
      <c r="A38" s="904" t="s">
        <v>503</v>
      </c>
      <c r="B38" s="905"/>
      <c r="C38" s="905"/>
      <c r="D38" s="905"/>
      <c r="E38" s="905"/>
      <c r="F38" s="906"/>
      <c r="G38" s="904" t="s">
        <v>504</v>
      </c>
      <c r="H38" s="905"/>
      <c r="I38" s="905"/>
      <c r="J38" s="905"/>
      <c r="K38" s="906"/>
    </row>
    <row r="39" spans="1:11" ht="15.75" hidden="1" thickBot="1" x14ac:dyDescent="0.3">
      <c r="A39" s="889"/>
      <c r="B39" s="890"/>
      <c r="C39" s="890"/>
      <c r="D39" s="890"/>
      <c r="E39" s="890"/>
      <c r="F39" s="891"/>
      <c r="G39" s="889"/>
      <c r="H39" s="890"/>
      <c r="I39" s="890"/>
      <c r="J39" s="890"/>
      <c r="K39" s="891"/>
    </row>
    <row r="40" spans="1:11" ht="15.75" hidden="1" thickBot="1" x14ac:dyDescent="0.3">
      <c r="A40" s="889"/>
      <c r="B40" s="890"/>
      <c r="C40" s="890"/>
      <c r="D40" s="890"/>
      <c r="E40" s="890"/>
      <c r="F40" s="891"/>
      <c r="G40" s="889"/>
      <c r="H40" s="890"/>
      <c r="I40" s="890"/>
      <c r="J40" s="890"/>
      <c r="K40" s="891"/>
    </row>
    <row r="41" spans="1:11" ht="15.75" hidden="1" thickBot="1" x14ac:dyDescent="0.3">
      <c r="A41" s="889"/>
      <c r="B41" s="890"/>
      <c r="C41" s="890"/>
      <c r="D41" s="890"/>
      <c r="E41" s="890"/>
      <c r="F41" s="891"/>
      <c r="G41" s="889"/>
      <c r="H41" s="890"/>
      <c r="I41" s="890"/>
      <c r="J41" s="890"/>
      <c r="K41" s="891"/>
    </row>
    <row r="42" spans="1:11" ht="15.75" hidden="1" thickBot="1" x14ac:dyDescent="0.3">
      <c r="A42" s="889"/>
      <c r="B42" s="890"/>
      <c r="C42" s="890"/>
      <c r="D42" s="890"/>
      <c r="E42" s="890"/>
      <c r="F42" s="891"/>
      <c r="G42" s="889"/>
      <c r="H42" s="890"/>
      <c r="I42" s="890"/>
      <c r="J42" s="890"/>
      <c r="K42" s="891"/>
    </row>
    <row r="43" spans="1:11" ht="15.75" hidden="1" thickBot="1" x14ac:dyDescent="0.3">
      <c r="A43" s="889"/>
      <c r="B43" s="890"/>
      <c r="C43" s="890"/>
      <c r="D43" s="890"/>
      <c r="E43" s="890"/>
      <c r="F43" s="891"/>
      <c r="G43" s="889"/>
      <c r="H43" s="890"/>
      <c r="I43" s="890"/>
      <c r="J43" s="890"/>
      <c r="K43" s="891"/>
    </row>
    <row r="44" spans="1:11" ht="15.75" hidden="1" thickBot="1" x14ac:dyDescent="0.3">
      <c r="A44" s="889"/>
      <c r="B44" s="890"/>
      <c r="C44" s="890"/>
      <c r="D44" s="890"/>
      <c r="E44" s="890"/>
      <c r="F44" s="891"/>
      <c r="G44" s="889"/>
      <c r="H44" s="890"/>
      <c r="I44" s="890"/>
      <c r="J44" s="890"/>
      <c r="K44" s="891"/>
    </row>
    <row r="45" spans="1:11" ht="15.75" hidden="1" thickBot="1" x14ac:dyDescent="0.3">
      <c r="A45" s="889"/>
      <c r="B45" s="890"/>
      <c r="C45" s="890"/>
      <c r="D45" s="890"/>
      <c r="E45" s="890"/>
      <c r="F45" s="891"/>
      <c r="G45" s="889"/>
      <c r="H45" s="890"/>
      <c r="I45" s="890"/>
      <c r="J45" s="890"/>
      <c r="K45" s="891"/>
    </row>
    <row r="46" spans="1:11" ht="15.75" hidden="1" thickBot="1" x14ac:dyDescent="0.3">
      <c r="A46" s="889"/>
      <c r="B46" s="890"/>
      <c r="C46" s="890"/>
      <c r="D46" s="890"/>
      <c r="E46" s="890"/>
      <c r="F46" s="891"/>
      <c r="G46" s="889"/>
      <c r="H46" s="890"/>
      <c r="I46" s="890"/>
      <c r="J46" s="890"/>
      <c r="K46" s="891"/>
    </row>
    <row r="47" spans="1:11" ht="15.75" hidden="1" thickBot="1" x14ac:dyDescent="0.3">
      <c r="A47" s="889"/>
      <c r="B47" s="890"/>
      <c r="C47" s="890"/>
      <c r="D47" s="890"/>
      <c r="E47" s="890"/>
      <c r="F47" s="891"/>
      <c r="G47" s="889"/>
      <c r="H47" s="890"/>
      <c r="I47" s="890"/>
      <c r="J47" s="890"/>
      <c r="K47" s="891"/>
    </row>
    <row r="48" spans="1:11" ht="15.75" hidden="1" thickBot="1" x14ac:dyDescent="0.3">
      <c r="A48" s="889"/>
      <c r="B48" s="890"/>
      <c r="C48" s="890"/>
      <c r="D48" s="890"/>
      <c r="E48" s="890"/>
      <c r="F48" s="891"/>
      <c r="G48" s="889"/>
      <c r="H48" s="890"/>
      <c r="I48" s="890"/>
      <c r="J48" s="890"/>
      <c r="K48" s="891"/>
    </row>
    <row r="49" spans="1:11" ht="15.75" hidden="1" thickBot="1" x14ac:dyDescent="0.3">
      <c r="A49" s="889"/>
      <c r="B49" s="890"/>
      <c r="C49" s="890"/>
      <c r="D49" s="890"/>
      <c r="E49" s="890"/>
      <c r="F49" s="891"/>
      <c r="G49" s="889"/>
      <c r="H49" s="890"/>
      <c r="I49" s="890"/>
      <c r="J49" s="890"/>
      <c r="K49" s="891"/>
    </row>
    <row r="50" spans="1:11" ht="15.75" hidden="1" thickBot="1" x14ac:dyDescent="0.3">
      <c r="A50" s="889"/>
      <c r="B50" s="890"/>
      <c r="C50" s="890"/>
      <c r="D50" s="890"/>
      <c r="E50" s="890"/>
      <c r="F50" s="891"/>
      <c r="G50" s="889"/>
      <c r="H50" s="890"/>
      <c r="I50" s="890"/>
      <c r="J50" s="890"/>
      <c r="K50" s="891"/>
    </row>
    <row r="51" spans="1:11" ht="15.75" hidden="1" thickBot="1" x14ac:dyDescent="0.3">
      <c r="A51" s="889"/>
      <c r="B51" s="890"/>
      <c r="C51" s="890"/>
      <c r="D51" s="890"/>
      <c r="E51" s="890"/>
      <c r="F51" s="891"/>
      <c r="G51" s="889"/>
      <c r="H51" s="890"/>
      <c r="I51" s="890"/>
      <c r="J51" s="890"/>
      <c r="K51" s="891"/>
    </row>
    <row r="52" spans="1:11" ht="15.75" hidden="1" thickBot="1" x14ac:dyDescent="0.3">
      <c r="A52" s="1025" t="s">
        <v>527</v>
      </c>
      <c r="B52" s="1031"/>
      <c r="C52" s="1031"/>
      <c r="D52" s="1031"/>
      <c r="E52" s="1031"/>
      <c r="F52" s="1032"/>
      <c r="G52" s="1025" t="s">
        <v>533</v>
      </c>
      <c r="H52" s="1031"/>
      <c r="I52" s="1031"/>
      <c r="J52" s="1031"/>
      <c r="K52" s="1032"/>
    </row>
    <row r="53" spans="1:11" ht="15.75" hidden="1" thickBot="1" x14ac:dyDescent="0.3">
      <c r="A53" s="1033"/>
      <c r="B53" s="1034"/>
      <c r="C53" s="1034"/>
      <c r="D53" s="1034"/>
      <c r="E53" s="1034"/>
      <c r="F53" s="1035"/>
      <c r="G53" s="1033"/>
      <c r="H53" s="1034"/>
      <c r="I53" s="1034"/>
      <c r="J53" s="1034"/>
      <c r="K53" s="1035"/>
    </row>
    <row r="54" spans="1:11" ht="15.75" hidden="1" thickBot="1" x14ac:dyDescent="0.3">
      <c r="A54" s="889"/>
      <c r="B54" s="890"/>
      <c r="C54" s="890"/>
      <c r="D54" s="890"/>
      <c r="E54" s="890"/>
      <c r="F54" s="891"/>
      <c r="G54" s="889" t="s">
        <v>453</v>
      </c>
      <c r="H54" s="890"/>
      <c r="I54" s="890"/>
      <c r="J54" s="890"/>
      <c r="K54" s="891"/>
    </row>
    <row r="55" spans="1:11" ht="15.75" hidden="1" thickBot="1" x14ac:dyDescent="0.3">
      <c r="A55" s="889"/>
      <c r="B55" s="890"/>
      <c r="C55" s="890"/>
      <c r="D55" s="890"/>
      <c r="E55" s="890"/>
      <c r="F55" s="891"/>
      <c r="G55" s="889"/>
      <c r="H55" s="890"/>
      <c r="I55" s="890"/>
      <c r="J55" s="890"/>
      <c r="K55" s="891"/>
    </row>
    <row r="56" spans="1:11" ht="15.75" hidden="1" thickBot="1" x14ac:dyDescent="0.3">
      <c r="A56" s="889"/>
      <c r="B56" s="890"/>
      <c r="C56" s="890"/>
      <c r="D56" s="890"/>
      <c r="E56" s="890"/>
      <c r="F56" s="891"/>
      <c r="G56" s="889"/>
      <c r="H56" s="890"/>
      <c r="I56" s="890"/>
      <c r="J56" s="890"/>
      <c r="K56" s="891"/>
    </row>
    <row r="57" spans="1:11" ht="15.75" hidden="1" thickBot="1" x14ac:dyDescent="0.3">
      <c r="A57" s="889"/>
      <c r="B57" s="890"/>
      <c r="C57" s="890"/>
      <c r="D57" s="890"/>
      <c r="E57" s="890"/>
      <c r="F57" s="891"/>
      <c r="G57" s="889"/>
      <c r="H57" s="890"/>
      <c r="I57" s="890"/>
      <c r="J57" s="890"/>
      <c r="K57" s="891"/>
    </row>
    <row r="58" spans="1:11" ht="15.75" hidden="1" thickBot="1" x14ac:dyDescent="0.3">
      <c r="A58" s="889"/>
      <c r="B58" s="890"/>
      <c r="C58" s="890"/>
      <c r="D58" s="890"/>
      <c r="E58" s="890"/>
      <c r="F58" s="891"/>
      <c r="G58" s="889"/>
      <c r="H58" s="890"/>
      <c r="I58" s="890"/>
      <c r="J58" s="890"/>
      <c r="K58" s="891"/>
    </row>
    <row r="59" spans="1:11" ht="15.75" hidden="1" thickBot="1" x14ac:dyDescent="0.3">
      <c r="A59" s="889"/>
      <c r="B59" s="890"/>
      <c r="C59" s="890"/>
      <c r="D59" s="890"/>
      <c r="E59" s="890"/>
      <c r="F59" s="891"/>
      <c r="G59" s="889"/>
      <c r="H59" s="890"/>
      <c r="I59" s="890"/>
      <c r="J59" s="890"/>
      <c r="K59" s="891"/>
    </row>
    <row r="60" spans="1:11" ht="15.75" hidden="1" thickBot="1" x14ac:dyDescent="0.3">
      <c r="A60" s="889"/>
      <c r="B60" s="890"/>
      <c r="C60" s="890"/>
      <c r="D60" s="890"/>
      <c r="E60" s="890"/>
      <c r="F60" s="891"/>
      <c r="G60" s="889"/>
      <c r="H60" s="890"/>
      <c r="I60" s="890"/>
      <c r="J60" s="890"/>
      <c r="K60" s="891"/>
    </row>
    <row r="61" spans="1:11" ht="15.75" hidden="1" thickBot="1" x14ac:dyDescent="0.3">
      <c r="A61" s="889"/>
      <c r="B61" s="890"/>
      <c r="C61" s="890"/>
      <c r="D61" s="890"/>
      <c r="E61" s="890"/>
      <c r="F61" s="891"/>
      <c r="G61" s="889"/>
      <c r="H61" s="890"/>
      <c r="I61" s="890"/>
      <c r="J61" s="890"/>
      <c r="K61" s="891"/>
    </row>
    <row r="62" spans="1:11" ht="15.75" hidden="1" thickBot="1" x14ac:dyDescent="0.3">
      <c r="A62" s="889"/>
      <c r="B62" s="890"/>
      <c r="C62" s="890"/>
      <c r="D62" s="890"/>
      <c r="E62" s="890"/>
      <c r="F62" s="891"/>
      <c r="G62" s="889"/>
      <c r="H62" s="890"/>
      <c r="I62" s="890"/>
      <c r="J62" s="890"/>
      <c r="K62" s="891"/>
    </row>
    <row r="63" spans="1:11" ht="15.75" hidden="1" thickBot="1" x14ac:dyDescent="0.3">
      <c r="A63" s="889"/>
      <c r="B63" s="890"/>
      <c r="C63" s="890"/>
      <c r="D63" s="890"/>
      <c r="E63" s="890"/>
      <c r="F63" s="891"/>
      <c r="G63" s="889"/>
      <c r="H63" s="890"/>
      <c r="I63" s="890"/>
      <c r="J63" s="890"/>
      <c r="K63" s="891"/>
    </row>
    <row r="64" spans="1:11" ht="14.25" hidden="1" customHeight="1" x14ac:dyDescent="0.25">
      <c r="A64" s="889"/>
      <c r="B64" s="890"/>
      <c r="C64" s="890"/>
      <c r="D64" s="890"/>
      <c r="E64" s="890"/>
      <c r="F64" s="891"/>
      <c r="G64" s="889"/>
      <c r="H64" s="890"/>
      <c r="I64" s="890"/>
      <c r="J64" s="890"/>
      <c r="K64" s="891"/>
    </row>
    <row r="65" spans="1:11" ht="19.5" hidden="1" customHeight="1" x14ac:dyDescent="0.25">
      <c r="A65" s="889"/>
      <c r="B65" s="890"/>
      <c r="C65" s="890"/>
      <c r="D65" s="890"/>
      <c r="E65" s="890"/>
      <c r="F65" s="891"/>
      <c r="G65" s="889"/>
      <c r="H65" s="890"/>
      <c r="I65" s="890"/>
      <c r="J65" s="890"/>
      <c r="K65" s="891"/>
    </row>
    <row r="66" spans="1:11" ht="15.75" hidden="1" thickBot="1" x14ac:dyDescent="0.3">
      <c r="A66" s="889"/>
      <c r="B66" s="890"/>
      <c r="C66" s="890"/>
      <c r="D66" s="890"/>
      <c r="E66" s="890"/>
      <c r="F66" s="891"/>
      <c r="G66" s="889"/>
      <c r="H66" s="890"/>
      <c r="I66" s="890"/>
      <c r="J66" s="890"/>
      <c r="K66" s="891"/>
    </row>
    <row r="67" spans="1:11" ht="15.75" hidden="1" thickBot="1" x14ac:dyDescent="0.3">
      <c r="A67" s="889"/>
      <c r="B67" s="890"/>
      <c r="C67" s="890"/>
      <c r="D67" s="890"/>
      <c r="E67" s="890"/>
      <c r="F67" s="891"/>
      <c r="G67" s="889"/>
      <c r="H67" s="890"/>
      <c r="I67" s="890"/>
      <c r="J67" s="890"/>
      <c r="K67" s="891"/>
    </row>
    <row r="68" spans="1:11" ht="15.75" hidden="1" thickBot="1" x14ac:dyDescent="0.3">
      <c r="A68" s="1036" t="s">
        <v>599</v>
      </c>
      <c r="B68" s="1037"/>
      <c r="C68" s="1037"/>
      <c r="D68" s="1037"/>
      <c r="E68" s="1037"/>
      <c r="F68" s="1038"/>
      <c r="G68" s="1025" t="s">
        <v>600</v>
      </c>
      <c r="H68" s="1031"/>
      <c r="I68" s="1031"/>
      <c r="J68" s="1031"/>
      <c r="K68" s="1032"/>
    </row>
    <row r="69" spans="1:11" ht="15.75" hidden="1" thickBot="1" x14ac:dyDescent="0.3">
      <c r="A69" s="1039"/>
      <c r="B69" s="1040"/>
      <c r="C69" s="1040"/>
      <c r="D69" s="1040"/>
      <c r="E69" s="1040"/>
      <c r="F69" s="1041"/>
      <c r="G69" s="1033"/>
      <c r="H69" s="1034"/>
      <c r="I69" s="1034"/>
      <c r="J69" s="1034"/>
      <c r="K69" s="1035"/>
    </row>
    <row r="70" spans="1:11" x14ac:dyDescent="0.25">
      <c r="A70" s="904" t="s">
        <v>501</v>
      </c>
      <c r="B70" s="905"/>
      <c r="C70" s="905"/>
      <c r="D70" s="905"/>
      <c r="E70" s="905"/>
      <c r="F70" s="906"/>
      <c r="G70" s="904" t="s">
        <v>502</v>
      </c>
      <c r="H70" s="905"/>
      <c r="I70" s="905"/>
      <c r="J70" s="905"/>
      <c r="K70" s="906"/>
    </row>
    <row r="71" spans="1:11" x14ac:dyDescent="0.25">
      <c r="A71" s="889"/>
      <c r="B71" s="890"/>
      <c r="C71" s="890"/>
      <c r="D71" s="890"/>
      <c r="E71" s="890"/>
      <c r="F71" s="891"/>
      <c r="G71" s="889"/>
      <c r="H71" s="890"/>
      <c r="I71" s="890"/>
      <c r="J71" s="890"/>
      <c r="K71" s="891"/>
    </row>
    <row r="72" spans="1:11" x14ac:dyDescent="0.25">
      <c r="A72" s="889"/>
      <c r="B72" s="890"/>
      <c r="C72" s="890"/>
      <c r="D72" s="890"/>
      <c r="E72" s="890"/>
      <c r="F72" s="891"/>
      <c r="G72" s="889"/>
      <c r="H72" s="890"/>
      <c r="I72" s="890"/>
      <c r="J72" s="890"/>
      <c r="K72" s="891"/>
    </row>
    <row r="73" spans="1:11" x14ac:dyDescent="0.25">
      <c r="A73" s="889"/>
      <c r="B73" s="890"/>
      <c r="C73" s="890"/>
      <c r="D73" s="890"/>
      <c r="E73" s="890"/>
      <c r="F73" s="891"/>
      <c r="G73" s="889"/>
      <c r="H73" s="890"/>
      <c r="I73" s="890"/>
      <c r="J73" s="890"/>
      <c r="K73" s="891"/>
    </row>
    <row r="74" spans="1:11" x14ac:dyDescent="0.25">
      <c r="A74" s="889"/>
      <c r="B74" s="890"/>
      <c r="C74" s="890"/>
      <c r="D74" s="890"/>
      <c r="E74" s="890"/>
      <c r="F74" s="891"/>
      <c r="G74" s="889"/>
      <c r="H74" s="890"/>
      <c r="I74" s="890"/>
      <c r="J74" s="890"/>
      <c r="K74" s="891"/>
    </row>
    <row r="75" spans="1:11" x14ac:dyDescent="0.25">
      <c r="A75" s="889"/>
      <c r="B75" s="890"/>
      <c r="C75" s="890"/>
      <c r="D75" s="890"/>
      <c r="E75" s="890"/>
      <c r="F75" s="891"/>
      <c r="G75" s="889"/>
      <c r="H75" s="890"/>
      <c r="I75" s="890"/>
      <c r="J75" s="890"/>
      <c r="K75" s="891"/>
    </row>
    <row r="76" spans="1:11" x14ac:dyDescent="0.25">
      <c r="A76" s="889"/>
      <c r="B76" s="890"/>
      <c r="C76" s="890"/>
      <c r="D76" s="890"/>
      <c r="E76" s="890"/>
      <c r="F76" s="891"/>
      <c r="G76" s="889"/>
      <c r="H76" s="890"/>
      <c r="I76" s="890"/>
      <c r="J76" s="890"/>
      <c r="K76" s="891"/>
    </row>
    <row r="77" spans="1:11" x14ac:dyDescent="0.25">
      <c r="A77" s="889"/>
      <c r="B77" s="890"/>
      <c r="C77" s="890"/>
      <c r="D77" s="890"/>
      <c r="E77" s="890"/>
      <c r="F77" s="891"/>
      <c r="G77" s="889"/>
      <c r="H77" s="890"/>
      <c r="I77" s="890"/>
      <c r="J77" s="890"/>
      <c r="K77" s="891"/>
    </row>
    <row r="78" spans="1:11" x14ac:dyDescent="0.25">
      <c r="A78" s="889"/>
      <c r="B78" s="890"/>
      <c r="C78" s="890"/>
      <c r="D78" s="890"/>
      <c r="E78" s="890"/>
      <c r="F78" s="891"/>
      <c r="G78" s="889"/>
      <c r="H78" s="890"/>
      <c r="I78" s="890"/>
      <c r="J78" s="890"/>
      <c r="K78" s="891"/>
    </row>
    <row r="79" spans="1:11" x14ac:dyDescent="0.25">
      <c r="A79" s="889"/>
      <c r="B79" s="890"/>
      <c r="C79" s="890"/>
      <c r="D79" s="890"/>
      <c r="E79" s="890"/>
      <c r="F79" s="891"/>
      <c r="G79" s="889"/>
      <c r="H79" s="890"/>
      <c r="I79" s="890"/>
      <c r="J79" s="890"/>
      <c r="K79" s="891"/>
    </row>
    <row r="80" spans="1:11" x14ac:dyDescent="0.25">
      <c r="A80" s="889"/>
      <c r="B80" s="890"/>
      <c r="C80" s="890"/>
      <c r="D80" s="890"/>
      <c r="E80" s="890"/>
      <c r="F80" s="891"/>
      <c r="G80" s="889"/>
      <c r="H80" s="890"/>
      <c r="I80" s="890"/>
      <c r="J80" s="890"/>
      <c r="K80" s="891"/>
    </row>
    <row r="81" spans="1:11" x14ac:dyDescent="0.25">
      <c r="A81" s="889"/>
      <c r="B81" s="890"/>
      <c r="C81" s="890"/>
      <c r="D81" s="890"/>
      <c r="E81" s="890"/>
      <c r="F81" s="891"/>
      <c r="G81" s="889"/>
      <c r="H81" s="890"/>
      <c r="I81" s="890"/>
      <c r="J81" s="890"/>
      <c r="K81" s="891"/>
    </row>
    <row r="82" spans="1:11" x14ac:dyDescent="0.25">
      <c r="A82" s="889"/>
      <c r="B82" s="890"/>
      <c r="C82" s="890"/>
      <c r="D82" s="890"/>
      <c r="E82" s="890"/>
      <c r="F82" s="891"/>
      <c r="G82" s="889"/>
      <c r="H82" s="890"/>
      <c r="I82" s="890"/>
      <c r="J82" s="890"/>
      <c r="K82" s="891"/>
    </row>
    <row r="83" spans="1:11" ht="15.75" thickBot="1" x14ac:dyDescent="0.3">
      <c r="A83" s="889"/>
      <c r="B83" s="890"/>
      <c r="C83" s="890"/>
      <c r="D83" s="890"/>
      <c r="E83" s="890"/>
      <c r="F83" s="891"/>
      <c r="G83" s="889"/>
      <c r="H83" s="890"/>
      <c r="I83" s="890"/>
      <c r="J83" s="890"/>
      <c r="K83" s="891"/>
    </row>
    <row r="84" spans="1:11" x14ac:dyDescent="0.25">
      <c r="A84" s="1036" t="s">
        <v>1245</v>
      </c>
      <c r="B84" s="1037"/>
      <c r="C84" s="1037"/>
      <c r="D84" s="1037"/>
      <c r="E84" s="1037"/>
      <c r="F84" s="1038"/>
      <c r="G84" s="1025" t="s">
        <v>1246</v>
      </c>
      <c r="H84" s="1031"/>
      <c r="I84" s="1031"/>
      <c r="J84" s="1031"/>
      <c r="K84" s="1032"/>
    </row>
    <row r="85" spans="1:11" ht="15.75" thickBot="1" x14ac:dyDescent="0.3">
      <c r="A85" s="1039"/>
      <c r="B85" s="1040"/>
      <c r="C85" s="1040"/>
      <c r="D85" s="1040"/>
      <c r="E85" s="1040"/>
      <c r="F85" s="1041"/>
      <c r="G85" s="1033"/>
      <c r="H85" s="1034"/>
      <c r="I85" s="1034"/>
      <c r="J85" s="1034"/>
      <c r="K85" s="1035"/>
    </row>
    <row r="86" spans="1:11" ht="15.75" hidden="1" thickBot="1" x14ac:dyDescent="0.3">
      <c r="A86" s="904" t="s">
        <v>503</v>
      </c>
      <c r="B86" s="905"/>
      <c r="C86" s="905"/>
      <c r="D86" s="905"/>
      <c r="E86" s="905"/>
      <c r="F86" s="906"/>
      <c r="G86" s="904" t="s">
        <v>504</v>
      </c>
      <c r="H86" s="905"/>
      <c r="I86" s="905"/>
      <c r="J86" s="905"/>
      <c r="K86" s="906"/>
    </row>
    <row r="87" spans="1:11" ht="15.75" hidden="1" thickBot="1" x14ac:dyDescent="0.3">
      <c r="A87" s="889"/>
      <c r="B87" s="890"/>
      <c r="C87" s="890"/>
      <c r="D87" s="890"/>
      <c r="E87" s="890"/>
      <c r="F87" s="891"/>
      <c r="G87" s="889"/>
      <c r="H87" s="890"/>
      <c r="I87" s="890"/>
      <c r="J87" s="890"/>
      <c r="K87" s="891"/>
    </row>
    <row r="88" spans="1:11" ht="15.75" hidden="1" thickBot="1" x14ac:dyDescent="0.3">
      <c r="A88" s="889"/>
      <c r="B88" s="890"/>
      <c r="C88" s="890"/>
      <c r="D88" s="890"/>
      <c r="E88" s="890"/>
      <c r="F88" s="891"/>
      <c r="G88" s="889"/>
      <c r="H88" s="890"/>
      <c r="I88" s="890"/>
      <c r="J88" s="890"/>
      <c r="K88" s="891"/>
    </row>
    <row r="89" spans="1:11" ht="15.75" hidden="1" thickBot="1" x14ac:dyDescent="0.3">
      <c r="A89" s="889"/>
      <c r="B89" s="890"/>
      <c r="C89" s="890"/>
      <c r="D89" s="890"/>
      <c r="E89" s="890"/>
      <c r="F89" s="891"/>
      <c r="G89" s="889"/>
      <c r="H89" s="890"/>
      <c r="I89" s="890"/>
      <c r="J89" s="890"/>
      <c r="K89" s="891"/>
    </row>
    <row r="90" spans="1:11" ht="15.75" hidden="1" thickBot="1" x14ac:dyDescent="0.3">
      <c r="A90" s="889"/>
      <c r="B90" s="890"/>
      <c r="C90" s="890"/>
      <c r="D90" s="890"/>
      <c r="E90" s="890"/>
      <c r="F90" s="891"/>
      <c r="G90" s="889"/>
      <c r="H90" s="890"/>
      <c r="I90" s="890"/>
      <c r="J90" s="890"/>
      <c r="K90" s="891"/>
    </row>
    <row r="91" spans="1:11" ht="15.75" hidden="1" thickBot="1" x14ac:dyDescent="0.3">
      <c r="A91" s="889"/>
      <c r="B91" s="890"/>
      <c r="C91" s="890"/>
      <c r="D91" s="890"/>
      <c r="E91" s="890"/>
      <c r="F91" s="891"/>
      <c r="G91" s="889"/>
      <c r="H91" s="890"/>
      <c r="I91" s="890"/>
      <c r="J91" s="890"/>
      <c r="K91" s="891"/>
    </row>
    <row r="92" spans="1:11" ht="15.75" hidden="1" thickBot="1" x14ac:dyDescent="0.3">
      <c r="A92" s="889"/>
      <c r="B92" s="890"/>
      <c r="C92" s="890"/>
      <c r="D92" s="890"/>
      <c r="E92" s="890"/>
      <c r="F92" s="891"/>
      <c r="G92" s="889"/>
      <c r="H92" s="890"/>
      <c r="I92" s="890"/>
      <c r="J92" s="890"/>
      <c r="K92" s="891"/>
    </row>
    <row r="93" spans="1:11" ht="15.75" hidden="1" thickBot="1" x14ac:dyDescent="0.3">
      <c r="A93" s="889"/>
      <c r="B93" s="890"/>
      <c r="C93" s="890"/>
      <c r="D93" s="890"/>
      <c r="E93" s="890"/>
      <c r="F93" s="891"/>
      <c r="G93" s="889"/>
      <c r="H93" s="890"/>
      <c r="I93" s="890"/>
      <c r="J93" s="890"/>
      <c r="K93" s="891"/>
    </row>
    <row r="94" spans="1:11" ht="15.75" hidden="1" thickBot="1" x14ac:dyDescent="0.3">
      <c r="A94" s="889"/>
      <c r="B94" s="890"/>
      <c r="C94" s="890"/>
      <c r="D94" s="890"/>
      <c r="E94" s="890"/>
      <c r="F94" s="891"/>
      <c r="G94" s="889"/>
      <c r="H94" s="890"/>
      <c r="I94" s="890"/>
      <c r="J94" s="890"/>
      <c r="K94" s="891"/>
    </row>
    <row r="95" spans="1:11" ht="15.75" hidden="1" thickBot="1" x14ac:dyDescent="0.3">
      <c r="A95" s="889"/>
      <c r="B95" s="890"/>
      <c r="C95" s="890"/>
      <c r="D95" s="890"/>
      <c r="E95" s="890"/>
      <c r="F95" s="891"/>
      <c r="G95" s="889"/>
      <c r="H95" s="890"/>
      <c r="I95" s="890"/>
      <c r="J95" s="890"/>
      <c r="K95" s="891"/>
    </row>
    <row r="96" spans="1:11" ht="15.75" hidden="1" thickBot="1" x14ac:dyDescent="0.3">
      <c r="A96" s="889"/>
      <c r="B96" s="890"/>
      <c r="C96" s="890"/>
      <c r="D96" s="890"/>
      <c r="E96" s="890"/>
      <c r="F96" s="891"/>
      <c r="G96" s="889"/>
      <c r="H96" s="890"/>
      <c r="I96" s="890"/>
      <c r="J96" s="890"/>
      <c r="K96" s="891"/>
    </row>
    <row r="97" spans="1:11" ht="15.75" hidden="1" thickBot="1" x14ac:dyDescent="0.3">
      <c r="A97" s="889"/>
      <c r="B97" s="890"/>
      <c r="C97" s="890"/>
      <c r="D97" s="890"/>
      <c r="E97" s="890"/>
      <c r="F97" s="891"/>
      <c r="G97" s="889"/>
      <c r="H97" s="890"/>
      <c r="I97" s="890"/>
      <c r="J97" s="890"/>
      <c r="K97" s="891"/>
    </row>
    <row r="98" spans="1:11" ht="15.75" hidden="1" thickBot="1" x14ac:dyDescent="0.3">
      <c r="A98" s="889"/>
      <c r="B98" s="890"/>
      <c r="C98" s="890"/>
      <c r="D98" s="890"/>
      <c r="E98" s="890"/>
      <c r="F98" s="891"/>
      <c r="G98" s="889"/>
      <c r="H98" s="890"/>
      <c r="I98" s="890"/>
      <c r="J98" s="890"/>
      <c r="K98" s="891"/>
    </row>
    <row r="99" spans="1:11" ht="15.75" hidden="1" thickBot="1" x14ac:dyDescent="0.3">
      <c r="A99" s="889"/>
      <c r="B99" s="890"/>
      <c r="C99" s="890"/>
      <c r="D99" s="890"/>
      <c r="E99" s="890"/>
      <c r="F99" s="891"/>
      <c r="G99" s="889"/>
      <c r="H99" s="890"/>
      <c r="I99" s="890"/>
      <c r="J99" s="890"/>
      <c r="K99" s="891"/>
    </row>
    <row r="100" spans="1:11" ht="15.75" hidden="1" thickBot="1" x14ac:dyDescent="0.3">
      <c r="A100" s="1025" t="s">
        <v>772</v>
      </c>
      <c r="B100" s="1031"/>
      <c r="C100" s="1031"/>
      <c r="D100" s="1031"/>
      <c r="E100" s="1031"/>
      <c r="F100" s="1032"/>
      <c r="G100" s="1025" t="s">
        <v>773</v>
      </c>
      <c r="H100" s="1031"/>
      <c r="I100" s="1031"/>
      <c r="J100" s="1031"/>
      <c r="K100" s="1032"/>
    </row>
    <row r="101" spans="1:11" ht="15.75" hidden="1" thickBot="1" x14ac:dyDescent="0.3">
      <c r="A101" s="1033"/>
      <c r="B101" s="1034"/>
      <c r="C101" s="1034"/>
      <c r="D101" s="1034"/>
      <c r="E101" s="1034"/>
      <c r="F101" s="1035"/>
      <c r="G101" s="1033"/>
      <c r="H101" s="1034"/>
      <c r="I101" s="1034"/>
      <c r="J101" s="1034"/>
      <c r="K101" s="1035"/>
    </row>
    <row r="102" spans="1:11" ht="15.75" hidden="1" thickBot="1" x14ac:dyDescent="0.3">
      <c r="A102" s="889" t="s">
        <v>452</v>
      </c>
      <c r="B102" s="890"/>
      <c r="C102" s="890"/>
      <c r="D102" s="890"/>
      <c r="E102" s="890"/>
      <c r="F102" s="891"/>
      <c r="G102" s="889" t="s">
        <v>453</v>
      </c>
      <c r="H102" s="890"/>
      <c r="I102" s="890"/>
      <c r="J102" s="890"/>
      <c r="K102" s="891"/>
    </row>
    <row r="103" spans="1:11" ht="15.75" hidden="1" thickBot="1" x14ac:dyDescent="0.3">
      <c r="A103" s="889"/>
      <c r="B103" s="890"/>
      <c r="C103" s="890"/>
      <c r="D103" s="890"/>
      <c r="E103" s="890"/>
      <c r="F103" s="891"/>
      <c r="G103" s="889"/>
      <c r="H103" s="890"/>
      <c r="I103" s="890"/>
      <c r="J103" s="890"/>
      <c r="K103" s="891"/>
    </row>
    <row r="104" spans="1:11" ht="15.75" hidden="1" thickBot="1" x14ac:dyDescent="0.3">
      <c r="A104" s="889"/>
      <c r="B104" s="890"/>
      <c r="C104" s="890"/>
      <c r="D104" s="890"/>
      <c r="E104" s="890"/>
      <c r="F104" s="891"/>
      <c r="G104" s="889"/>
      <c r="H104" s="890"/>
      <c r="I104" s="890"/>
      <c r="J104" s="890"/>
      <c r="K104" s="891"/>
    </row>
    <row r="105" spans="1:11" ht="15.75" hidden="1" thickBot="1" x14ac:dyDescent="0.3">
      <c r="A105" s="889"/>
      <c r="B105" s="890"/>
      <c r="C105" s="890"/>
      <c r="D105" s="890"/>
      <c r="E105" s="890"/>
      <c r="F105" s="891"/>
      <c r="G105" s="889"/>
      <c r="H105" s="890"/>
      <c r="I105" s="890"/>
      <c r="J105" s="890"/>
      <c r="K105" s="891"/>
    </row>
    <row r="106" spans="1:11" ht="15.75" hidden="1" thickBot="1" x14ac:dyDescent="0.3">
      <c r="A106" s="889"/>
      <c r="B106" s="890"/>
      <c r="C106" s="890"/>
      <c r="D106" s="890"/>
      <c r="E106" s="890"/>
      <c r="F106" s="891"/>
      <c r="G106" s="889"/>
      <c r="H106" s="890"/>
      <c r="I106" s="890"/>
      <c r="J106" s="890"/>
      <c r="K106" s="891"/>
    </row>
    <row r="107" spans="1:11" ht="15.75" hidden="1" thickBot="1" x14ac:dyDescent="0.3">
      <c r="A107" s="889"/>
      <c r="B107" s="890"/>
      <c r="C107" s="890"/>
      <c r="D107" s="890"/>
      <c r="E107" s="890"/>
      <c r="F107" s="891"/>
      <c r="G107" s="889"/>
      <c r="H107" s="890"/>
      <c r="I107" s="890"/>
      <c r="J107" s="890"/>
      <c r="K107" s="891"/>
    </row>
    <row r="108" spans="1:11" ht="15.75" hidden="1" thickBot="1" x14ac:dyDescent="0.3">
      <c r="A108" s="889"/>
      <c r="B108" s="890"/>
      <c r="C108" s="890"/>
      <c r="D108" s="890"/>
      <c r="E108" s="890"/>
      <c r="F108" s="891"/>
      <c r="G108" s="889"/>
      <c r="H108" s="890"/>
      <c r="I108" s="890"/>
      <c r="J108" s="890"/>
      <c r="K108" s="891"/>
    </row>
    <row r="109" spans="1:11" ht="15.75" hidden="1" thickBot="1" x14ac:dyDescent="0.3">
      <c r="A109" s="889"/>
      <c r="B109" s="890"/>
      <c r="C109" s="890"/>
      <c r="D109" s="890"/>
      <c r="E109" s="890"/>
      <c r="F109" s="891"/>
      <c r="G109" s="889"/>
      <c r="H109" s="890"/>
      <c r="I109" s="890"/>
      <c r="J109" s="890"/>
      <c r="K109" s="891"/>
    </row>
    <row r="110" spans="1:11" ht="15.75" hidden="1" thickBot="1" x14ac:dyDescent="0.3">
      <c r="A110" s="889"/>
      <c r="B110" s="890"/>
      <c r="C110" s="890"/>
      <c r="D110" s="890"/>
      <c r="E110" s="890"/>
      <c r="F110" s="891"/>
      <c r="G110" s="889"/>
      <c r="H110" s="890"/>
      <c r="I110" s="890"/>
      <c r="J110" s="890"/>
      <c r="K110" s="891"/>
    </row>
    <row r="111" spans="1:11" ht="15.75" hidden="1" thickBot="1" x14ac:dyDescent="0.3">
      <c r="A111" s="889"/>
      <c r="B111" s="890"/>
      <c r="C111" s="890"/>
      <c r="D111" s="890"/>
      <c r="E111" s="890"/>
      <c r="F111" s="891"/>
      <c r="G111" s="889"/>
      <c r="H111" s="890"/>
      <c r="I111" s="890"/>
      <c r="J111" s="890"/>
      <c r="K111" s="891"/>
    </row>
    <row r="112" spans="1:11" ht="15.75" hidden="1" thickBot="1" x14ac:dyDescent="0.3">
      <c r="A112" s="889"/>
      <c r="B112" s="890"/>
      <c r="C112" s="890"/>
      <c r="D112" s="890"/>
      <c r="E112" s="890"/>
      <c r="F112" s="891"/>
      <c r="G112" s="889"/>
      <c r="H112" s="890"/>
      <c r="I112" s="890"/>
      <c r="J112" s="890"/>
      <c r="K112" s="891"/>
    </row>
    <row r="113" spans="1:11" ht="15.75" hidden="1" thickBot="1" x14ac:dyDescent="0.3">
      <c r="A113" s="889"/>
      <c r="B113" s="890"/>
      <c r="C113" s="890"/>
      <c r="D113" s="890"/>
      <c r="E113" s="890"/>
      <c r="F113" s="891"/>
      <c r="G113" s="889"/>
      <c r="H113" s="890"/>
      <c r="I113" s="890"/>
      <c r="J113" s="890"/>
      <c r="K113" s="891"/>
    </row>
    <row r="114" spans="1:11" ht="15.75" hidden="1" thickBot="1" x14ac:dyDescent="0.3">
      <c r="A114" s="889"/>
      <c r="B114" s="890"/>
      <c r="C114" s="890"/>
      <c r="D114" s="890"/>
      <c r="E114" s="890"/>
      <c r="F114" s="891"/>
      <c r="G114" s="889"/>
      <c r="H114" s="890"/>
      <c r="I114" s="890"/>
      <c r="J114" s="890"/>
      <c r="K114" s="891"/>
    </row>
    <row r="115" spans="1:11" ht="15.75" hidden="1" thickBot="1" x14ac:dyDescent="0.3">
      <c r="A115" s="889"/>
      <c r="B115" s="890"/>
      <c r="C115" s="890"/>
      <c r="D115" s="890"/>
      <c r="E115" s="890"/>
      <c r="F115" s="891"/>
      <c r="G115" s="889"/>
      <c r="H115" s="890"/>
      <c r="I115" s="890"/>
      <c r="J115" s="890"/>
      <c r="K115" s="891"/>
    </row>
    <row r="116" spans="1:11" ht="15.75" hidden="1" thickBot="1" x14ac:dyDescent="0.3">
      <c r="A116" s="1036" t="s">
        <v>597</v>
      </c>
      <c r="B116" s="1037"/>
      <c r="C116" s="1037"/>
      <c r="D116" s="1037"/>
      <c r="E116" s="1037"/>
      <c r="F116" s="1038"/>
      <c r="G116" s="1025" t="s">
        <v>598</v>
      </c>
      <c r="H116" s="1031"/>
      <c r="I116" s="1031"/>
      <c r="J116" s="1031"/>
      <c r="K116" s="1032"/>
    </row>
    <row r="117" spans="1:11" ht="15.75" hidden="1" thickBot="1" x14ac:dyDescent="0.3">
      <c r="A117" s="1039"/>
      <c r="B117" s="1040"/>
      <c r="C117" s="1040"/>
      <c r="D117" s="1040"/>
      <c r="E117" s="1040"/>
      <c r="F117" s="1041"/>
      <c r="G117" s="1033"/>
      <c r="H117" s="1034"/>
      <c r="I117" s="1034"/>
      <c r="J117" s="1034"/>
      <c r="K117" s="1035"/>
    </row>
    <row r="118" spans="1:11" ht="15.75" hidden="1" thickBot="1" x14ac:dyDescent="0.3">
      <c r="A118" s="889" t="s">
        <v>452</v>
      </c>
      <c r="B118" s="890"/>
      <c r="C118" s="890"/>
      <c r="D118" s="890"/>
      <c r="E118" s="890"/>
      <c r="F118" s="891"/>
      <c r="G118" s="889" t="s">
        <v>453</v>
      </c>
      <c r="H118" s="890"/>
      <c r="I118" s="890"/>
      <c r="J118" s="890"/>
      <c r="K118" s="891"/>
    </row>
    <row r="119" spans="1:11" ht="15.75" hidden="1" thickBot="1" x14ac:dyDescent="0.3">
      <c r="A119" s="889"/>
      <c r="B119" s="890"/>
      <c r="C119" s="890"/>
      <c r="D119" s="890"/>
      <c r="E119" s="890"/>
      <c r="F119" s="891"/>
      <c r="G119" s="889"/>
      <c r="H119" s="890"/>
      <c r="I119" s="890"/>
      <c r="J119" s="890"/>
      <c r="K119" s="891"/>
    </row>
    <row r="120" spans="1:11" ht="15.75" hidden="1" thickBot="1" x14ac:dyDescent="0.3">
      <c r="A120" s="889"/>
      <c r="B120" s="890"/>
      <c r="C120" s="890"/>
      <c r="D120" s="890"/>
      <c r="E120" s="890"/>
      <c r="F120" s="891"/>
      <c r="G120" s="889"/>
      <c r="H120" s="890"/>
      <c r="I120" s="890"/>
      <c r="J120" s="890"/>
      <c r="K120" s="891"/>
    </row>
    <row r="121" spans="1:11" ht="15.75" hidden="1" thickBot="1" x14ac:dyDescent="0.3">
      <c r="A121" s="889"/>
      <c r="B121" s="890"/>
      <c r="C121" s="890"/>
      <c r="D121" s="890"/>
      <c r="E121" s="890"/>
      <c r="F121" s="891"/>
      <c r="G121" s="889"/>
      <c r="H121" s="890"/>
      <c r="I121" s="890"/>
      <c r="J121" s="890"/>
      <c r="K121" s="891"/>
    </row>
    <row r="122" spans="1:11" ht="15.75" hidden="1" thickBot="1" x14ac:dyDescent="0.3">
      <c r="A122" s="889"/>
      <c r="B122" s="890"/>
      <c r="C122" s="890"/>
      <c r="D122" s="890"/>
      <c r="E122" s="890"/>
      <c r="F122" s="891"/>
      <c r="G122" s="889"/>
      <c r="H122" s="890"/>
      <c r="I122" s="890"/>
      <c r="J122" s="890"/>
      <c r="K122" s="891"/>
    </row>
    <row r="123" spans="1:11" ht="15.75" hidden="1" thickBot="1" x14ac:dyDescent="0.3">
      <c r="A123" s="889"/>
      <c r="B123" s="890"/>
      <c r="C123" s="890"/>
      <c r="D123" s="890"/>
      <c r="E123" s="890"/>
      <c r="F123" s="891"/>
      <c r="G123" s="889"/>
      <c r="H123" s="890"/>
      <c r="I123" s="890"/>
      <c r="J123" s="890"/>
      <c r="K123" s="891"/>
    </row>
    <row r="124" spans="1:11" ht="15.75" hidden="1" thickBot="1" x14ac:dyDescent="0.3">
      <c r="A124" s="889"/>
      <c r="B124" s="890"/>
      <c r="C124" s="890"/>
      <c r="D124" s="890"/>
      <c r="E124" s="890"/>
      <c r="F124" s="891"/>
      <c r="G124" s="889"/>
      <c r="H124" s="890"/>
      <c r="I124" s="890"/>
      <c r="J124" s="890"/>
      <c r="K124" s="891"/>
    </row>
    <row r="125" spans="1:11" ht="15.75" hidden="1" thickBot="1" x14ac:dyDescent="0.3">
      <c r="A125" s="889"/>
      <c r="B125" s="890"/>
      <c r="C125" s="890"/>
      <c r="D125" s="890"/>
      <c r="E125" s="890"/>
      <c r="F125" s="891"/>
      <c r="G125" s="889"/>
      <c r="H125" s="890"/>
      <c r="I125" s="890"/>
      <c r="J125" s="890"/>
      <c r="K125" s="891"/>
    </row>
    <row r="126" spans="1:11" ht="15.75" hidden="1" thickBot="1" x14ac:dyDescent="0.3">
      <c r="A126" s="889"/>
      <c r="B126" s="890"/>
      <c r="C126" s="890"/>
      <c r="D126" s="890"/>
      <c r="E126" s="890"/>
      <c r="F126" s="891"/>
      <c r="G126" s="889"/>
      <c r="H126" s="890"/>
      <c r="I126" s="890"/>
      <c r="J126" s="890"/>
      <c r="K126" s="891"/>
    </row>
    <row r="127" spans="1:11" ht="15.75" hidden="1" thickBot="1" x14ac:dyDescent="0.3">
      <c r="A127" s="889"/>
      <c r="B127" s="890"/>
      <c r="C127" s="890"/>
      <c r="D127" s="890"/>
      <c r="E127" s="890"/>
      <c r="F127" s="891"/>
      <c r="G127" s="889"/>
      <c r="H127" s="890"/>
      <c r="I127" s="890"/>
      <c r="J127" s="890"/>
      <c r="K127" s="891"/>
    </row>
    <row r="128" spans="1:11" ht="15.75" hidden="1" thickBot="1" x14ac:dyDescent="0.3">
      <c r="A128" s="889"/>
      <c r="B128" s="890"/>
      <c r="C128" s="890"/>
      <c r="D128" s="890"/>
      <c r="E128" s="890"/>
      <c r="F128" s="891"/>
      <c r="G128" s="889"/>
      <c r="H128" s="890"/>
      <c r="I128" s="890"/>
      <c r="J128" s="890"/>
      <c r="K128" s="891"/>
    </row>
    <row r="129" spans="1:11" ht="15.75" hidden="1" thickBot="1" x14ac:dyDescent="0.3">
      <c r="A129" s="889"/>
      <c r="B129" s="890"/>
      <c r="C129" s="890"/>
      <c r="D129" s="890"/>
      <c r="E129" s="890"/>
      <c r="F129" s="891"/>
      <c r="G129" s="889"/>
      <c r="H129" s="890"/>
      <c r="I129" s="890"/>
      <c r="J129" s="890"/>
      <c r="K129" s="891"/>
    </row>
    <row r="130" spans="1:11" ht="15.75" hidden="1" thickBot="1" x14ac:dyDescent="0.3">
      <c r="A130" s="889"/>
      <c r="B130" s="890"/>
      <c r="C130" s="890"/>
      <c r="D130" s="890"/>
      <c r="E130" s="890"/>
      <c r="F130" s="891"/>
      <c r="G130" s="889"/>
      <c r="H130" s="890"/>
      <c r="I130" s="890"/>
      <c r="J130" s="890"/>
      <c r="K130" s="891"/>
    </row>
    <row r="131" spans="1:11" ht="15.75" hidden="1" thickBot="1" x14ac:dyDescent="0.3">
      <c r="A131" s="889"/>
      <c r="B131" s="890"/>
      <c r="C131" s="890"/>
      <c r="D131" s="890"/>
      <c r="E131" s="890"/>
      <c r="F131" s="891"/>
      <c r="G131" s="889"/>
      <c r="H131" s="890"/>
      <c r="I131" s="890"/>
      <c r="J131" s="890"/>
      <c r="K131" s="891"/>
    </row>
    <row r="132" spans="1:11" ht="15.75" hidden="1" thickBot="1" x14ac:dyDescent="0.3">
      <c r="A132" s="1036" t="s">
        <v>996</v>
      </c>
      <c r="B132" s="1037"/>
      <c r="C132" s="1037"/>
      <c r="D132" s="1037"/>
      <c r="E132" s="1037"/>
      <c r="F132" s="1038"/>
      <c r="G132" s="1025" t="s">
        <v>997</v>
      </c>
      <c r="H132" s="1031"/>
      <c r="I132" s="1031"/>
      <c r="J132" s="1031"/>
      <c r="K132" s="1032"/>
    </row>
    <row r="133" spans="1:11" ht="15.75" hidden="1" thickBot="1" x14ac:dyDescent="0.3">
      <c r="A133" s="1039"/>
      <c r="B133" s="1040"/>
      <c r="C133" s="1040"/>
      <c r="D133" s="1040"/>
      <c r="E133" s="1040"/>
      <c r="F133" s="1041"/>
      <c r="G133" s="1033"/>
      <c r="H133" s="1034"/>
      <c r="I133" s="1034"/>
      <c r="J133" s="1034"/>
      <c r="K133" s="1035"/>
    </row>
    <row r="134" spans="1:11" x14ac:dyDescent="0.25">
      <c r="A134" s="904" t="s">
        <v>501</v>
      </c>
      <c r="B134" s="905"/>
      <c r="C134" s="905"/>
      <c r="D134" s="905"/>
      <c r="E134" s="905"/>
      <c r="F134" s="906"/>
      <c r="G134" s="904" t="s">
        <v>502</v>
      </c>
      <c r="H134" s="905"/>
      <c r="I134" s="905"/>
      <c r="J134" s="905"/>
      <c r="K134" s="906"/>
    </row>
    <row r="135" spans="1:11" x14ac:dyDescent="0.25">
      <c r="A135" s="889"/>
      <c r="B135" s="890"/>
      <c r="C135" s="890"/>
      <c r="D135" s="890"/>
      <c r="E135" s="890"/>
      <c r="F135" s="891"/>
      <c r="G135" s="889"/>
      <c r="H135" s="890"/>
      <c r="I135" s="890"/>
      <c r="J135" s="890"/>
      <c r="K135" s="891"/>
    </row>
    <row r="136" spans="1:11" x14ac:dyDescent="0.25">
      <c r="A136" s="889"/>
      <c r="B136" s="890"/>
      <c r="C136" s="890"/>
      <c r="D136" s="890"/>
      <c r="E136" s="890"/>
      <c r="F136" s="891"/>
      <c r="G136" s="889"/>
      <c r="H136" s="890"/>
      <c r="I136" s="890"/>
      <c r="J136" s="890"/>
      <c r="K136" s="891"/>
    </row>
    <row r="137" spans="1:11" x14ac:dyDescent="0.25">
      <c r="A137" s="889"/>
      <c r="B137" s="890"/>
      <c r="C137" s="890"/>
      <c r="D137" s="890"/>
      <c r="E137" s="890"/>
      <c r="F137" s="891"/>
      <c r="G137" s="889"/>
      <c r="H137" s="890"/>
      <c r="I137" s="890"/>
      <c r="J137" s="890"/>
      <c r="K137" s="891"/>
    </row>
    <row r="138" spans="1:11" x14ac:dyDescent="0.25">
      <c r="A138" s="889"/>
      <c r="B138" s="890"/>
      <c r="C138" s="890"/>
      <c r="D138" s="890"/>
      <c r="E138" s="890"/>
      <c r="F138" s="891"/>
      <c r="G138" s="889"/>
      <c r="H138" s="890"/>
      <c r="I138" s="890"/>
      <c r="J138" s="890"/>
      <c r="K138" s="891"/>
    </row>
    <row r="139" spans="1:11" x14ac:dyDescent="0.25">
      <c r="A139" s="889"/>
      <c r="B139" s="890"/>
      <c r="C139" s="890"/>
      <c r="D139" s="890"/>
      <c r="E139" s="890"/>
      <c r="F139" s="891"/>
      <c r="G139" s="889"/>
      <c r="H139" s="890"/>
      <c r="I139" s="890"/>
      <c r="J139" s="890"/>
      <c r="K139" s="891"/>
    </row>
    <row r="140" spans="1:11" x14ac:dyDescent="0.25">
      <c r="A140" s="889"/>
      <c r="B140" s="890"/>
      <c r="C140" s="890"/>
      <c r="D140" s="890"/>
      <c r="E140" s="890"/>
      <c r="F140" s="891"/>
      <c r="G140" s="889"/>
      <c r="H140" s="890"/>
      <c r="I140" s="890"/>
      <c r="J140" s="890"/>
      <c r="K140" s="891"/>
    </row>
    <row r="141" spans="1:11" x14ac:dyDescent="0.25">
      <c r="A141" s="889"/>
      <c r="B141" s="890"/>
      <c r="C141" s="890"/>
      <c r="D141" s="890"/>
      <c r="E141" s="890"/>
      <c r="F141" s="891"/>
      <c r="G141" s="889"/>
      <c r="H141" s="890"/>
      <c r="I141" s="890"/>
      <c r="J141" s="890"/>
      <c r="K141" s="891"/>
    </row>
    <row r="142" spans="1:11" x14ac:dyDescent="0.25">
      <c r="A142" s="889"/>
      <c r="B142" s="890"/>
      <c r="C142" s="890"/>
      <c r="D142" s="890"/>
      <c r="E142" s="890"/>
      <c r="F142" s="891"/>
      <c r="G142" s="889"/>
      <c r="H142" s="890"/>
      <c r="I142" s="890"/>
      <c r="J142" s="890"/>
      <c r="K142" s="891"/>
    </row>
    <row r="143" spans="1:11" x14ac:dyDescent="0.25">
      <c r="A143" s="889"/>
      <c r="B143" s="890"/>
      <c r="C143" s="890"/>
      <c r="D143" s="890"/>
      <c r="E143" s="890"/>
      <c r="F143" s="891"/>
      <c r="G143" s="889"/>
      <c r="H143" s="890"/>
      <c r="I143" s="890"/>
      <c r="J143" s="890"/>
      <c r="K143" s="891"/>
    </row>
    <row r="144" spans="1:11" x14ac:dyDescent="0.25">
      <c r="A144" s="889"/>
      <c r="B144" s="890"/>
      <c r="C144" s="890"/>
      <c r="D144" s="890"/>
      <c r="E144" s="890"/>
      <c r="F144" s="891"/>
      <c r="G144" s="889"/>
      <c r="H144" s="890"/>
      <c r="I144" s="890"/>
      <c r="J144" s="890"/>
      <c r="K144" s="891"/>
    </row>
    <row r="145" spans="1:11" x14ac:dyDescent="0.25">
      <c r="A145" s="889"/>
      <c r="B145" s="890"/>
      <c r="C145" s="890"/>
      <c r="D145" s="890"/>
      <c r="E145" s="890"/>
      <c r="F145" s="891"/>
      <c r="G145" s="889"/>
      <c r="H145" s="890"/>
      <c r="I145" s="890"/>
      <c r="J145" s="890"/>
      <c r="K145" s="891"/>
    </row>
    <row r="146" spans="1:11" x14ac:dyDescent="0.25">
      <c r="A146" s="889"/>
      <c r="B146" s="890"/>
      <c r="C146" s="890"/>
      <c r="D146" s="890"/>
      <c r="E146" s="890"/>
      <c r="F146" s="891"/>
      <c r="G146" s="889"/>
      <c r="H146" s="890"/>
      <c r="I146" s="890"/>
      <c r="J146" s="890"/>
      <c r="K146" s="891"/>
    </row>
    <row r="147" spans="1:11" ht="15.75" thickBot="1" x14ac:dyDescent="0.3">
      <c r="A147" s="889"/>
      <c r="B147" s="890"/>
      <c r="C147" s="890"/>
      <c r="D147" s="890"/>
      <c r="E147" s="890"/>
      <c r="F147" s="891"/>
      <c r="G147" s="889"/>
      <c r="H147" s="890"/>
      <c r="I147" s="890"/>
      <c r="J147" s="890"/>
      <c r="K147" s="891"/>
    </row>
    <row r="148" spans="1:11" x14ac:dyDescent="0.25">
      <c r="A148" s="1036" t="s">
        <v>1247</v>
      </c>
      <c r="B148" s="1037"/>
      <c r="C148" s="1037"/>
      <c r="D148" s="1037"/>
      <c r="E148" s="1037"/>
      <c r="F148" s="1038"/>
      <c r="G148" s="1025" t="s">
        <v>1248</v>
      </c>
      <c r="H148" s="1031"/>
      <c r="I148" s="1031"/>
      <c r="J148" s="1031"/>
      <c r="K148" s="1032"/>
    </row>
    <row r="149" spans="1:11" ht="15.75" thickBot="1" x14ac:dyDescent="0.3">
      <c r="A149" s="1039"/>
      <c r="B149" s="1040"/>
      <c r="C149" s="1040"/>
      <c r="D149" s="1040"/>
      <c r="E149" s="1040"/>
      <c r="F149" s="1041"/>
      <c r="G149" s="1033"/>
      <c r="H149" s="1034"/>
      <c r="I149" s="1034"/>
      <c r="J149" s="1034"/>
      <c r="K149" s="1035"/>
    </row>
    <row r="150" spans="1:11" x14ac:dyDescent="0.25">
      <c r="A150" s="904" t="s">
        <v>503</v>
      </c>
      <c r="B150" s="905"/>
      <c r="C150" s="905"/>
      <c r="D150" s="905"/>
      <c r="E150" s="905"/>
      <c r="F150" s="906"/>
      <c r="G150" s="904"/>
      <c r="H150" s="905"/>
      <c r="I150" s="905"/>
      <c r="J150" s="905"/>
      <c r="K150" s="906"/>
    </row>
    <row r="151" spans="1:11" x14ac:dyDescent="0.25">
      <c r="A151" s="889"/>
      <c r="B151" s="890"/>
      <c r="C151" s="890"/>
      <c r="D151" s="890"/>
      <c r="E151" s="890"/>
      <c r="F151" s="891"/>
      <c r="G151" s="889"/>
      <c r="H151" s="890"/>
      <c r="I151" s="890"/>
      <c r="J151" s="890"/>
      <c r="K151" s="891"/>
    </row>
    <row r="152" spans="1:11" x14ac:dyDescent="0.25">
      <c r="A152" s="889"/>
      <c r="B152" s="890"/>
      <c r="C152" s="890"/>
      <c r="D152" s="890"/>
      <c r="E152" s="890"/>
      <c r="F152" s="891"/>
      <c r="G152" s="889"/>
      <c r="H152" s="890"/>
      <c r="I152" s="890"/>
      <c r="J152" s="890"/>
      <c r="K152" s="891"/>
    </row>
    <row r="153" spans="1:11" x14ac:dyDescent="0.25">
      <c r="A153" s="889"/>
      <c r="B153" s="890"/>
      <c r="C153" s="890"/>
      <c r="D153" s="890"/>
      <c r="E153" s="890"/>
      <c r="F153" s="891"/>
      <c r="G153" s="889"/>
      <c r="H153" s="890"/>
      <c r="I153" s="890"/>
      <c r="J153" s="890"/>
      <c r="K153" s="891"/>
    </row>
    <row r="154" spans="1:11" x14ac:dyDescent="0.25">
      <c r="A154" s="889"/>
      <c r="B154" s="890"/>
      <c r="C154" s="890"/>
      <c r="D154" s="890"/>
      <c r="E154" s="890"/>
      <c r="F154" s="891"/>
      <c r="G154" s="889"/>
      <c r="H154" s="890"/>
      <c r="I154" s="890"/>
      <c r="J154" s="890"/>
      <c r="K154" s="891"/>
    </row>
    <row r="155" spans="1:11" x14ac:dyDescent="0.25">
      <c r="A155" s="889"/>
      <c r="B155" s="890"/>
      <c r="C155" s="890"/>
      <c r="D155" s="890"/>
      <c r="E155" s="890"/>
      <c r="F155" s="891"/>
      <c r="G155" s="889"/>
      <c r="H155" s="890"/>
      <c r="I155" s="890"/>
      <c r="J155" s="890"/>
      <c r="K155" s="891"/>
    </row>
    <row r="156" spans="1:11" x14ac:dyDescent="0.25">
      <c r="A156" s="889"/>
      <c r="B156" s="890"/>
      <c r="C156" s="890"/>
      <c r="D156" s="890"/>
      <c r="E156" s="890"/>
      <c r="F156" s="891"/>
      <c r="G156" s="889"/>
      <c r="H156" s="890"/>
      <c r="I156" s="890"/>
      <c r="J156" s="890"/>
      <c r="K156" s="891"/>
    </row>
    <row r="157" spans="1:11" x14ac:dyDescent="0.25">
      <c r="A157" s="889"/>
      <c r="B157" s="890"/>
      <c r="C157" s="890"/>
      <c r="D157" s="890"/>
      <c r="E157" s="890"/>
      <c r="F157" s="891"/>
      <c r="G157" s="889"/>
      <c r="H157" s="890"/>
      <c r="I157" s="890"/>
      <c r="J157" s="890"/>
      <c r="K157" s="891"/>
    </row>
    <row r="158" spans="1:11" x14ac:dyDescent="0.25">
      <c r="A158" s="889"/>
      <c r="B158" s="890"/>
      <c r="C158" s="890"/>
      <c r="D158" s="890"/>
      <c r="E158" s="890"/>
      <c r="F158" s="891"/>
      <c r="G158" s="889"/>
      <c r="H158" s="890"/>
      <c r="I158" s="890"/>
      <c r="J158" s="890"/>
      <c r="K158" s="891"/>
    </row>
    <row r="159" spans="1:11" x14ac:dyDescent="0.25">
      <c r="A159" s="889"/>
      <c r="B159" s="890"/>
      <c r="C159" s="890"/>
      <c r="D159" s="890"/>
      <c r="E159" s="890"/>
      <c r="F159" s="891"/>
      <c r="G159" s="889"/>
      <c r="H159" s="890"/>
      <c r="I159" s="890"/>
      <c r="J159" s="890"/>
      <c r="K159" s="891"/>
    </row>
    <row r="160" spans="1:11" x14ac:dyDescent="0.25">
      <c r="A160" s="889"/>
      <c r="B160" s="890"/>
      <c r="C160" s="890"/>
      <c r="D160" s="890"/>
      <c r="E160" s="890"/>
      <c r="F160" s="891"/>
      <c r="G160" s="889"/>
      <c r="H160" s="890"/>
      <c r="I160" s="890"/>
      <c r="J160" s="890"/>
      <c r="K160" s="891"/>
    </row>
    <row r="161" spans="1:11" x14ac:dyDescent="0.25">
      <c r="A161" s="889"/>
      <c r="B161" s="890"/>
      <c r="C161" s="890"/>
      <c r="D161" s="890"/>
      <c r="E161" s="890"/>
      <c r="F161" s="891"/>
      <c r="G161" s="889"/>
      <c r="H161" s="890"/>
      <c r="I161" s="890"/>
      <c r="J161" s="890"/>
      <c r="K161" s="891"/>
    </row>
    <row r="162" spans="1:11" x14ac:dyDescent="0.25">
      <c r="A162" s="889"/>
      <c r="B162" s="890"/>
      <c r="C162" s="890"/>
      <c r="D162" s="890"/>
      <c r="E162" s="890"/>
      <c r="F162" s="891"/>
      <c r="G162" s="889"/>
      <c r="H162" s="890"/>
      <c r="I162" s="890"/>
      <c r="J162" s="890"/>
      <c r="K162" s="891"/>
    </row>
    <row r="163" spans="1:11" ht="15.75" thickBot="1" x14ac:dyDescent="0.3">
      <c r="A163" s="889"/>
      <c r="B163" s="890"/>
      <c r="C163" s="890"/>
      <c r="D163" s="890"/>
      <c r="E163" s="890"/>
      <c r="F163" s="891"/>
      <c r="G163" s="889"/>
      <c r="H163" s="890"/>
      <c r="I163" s="890"/>
      <c r="J163" s="890"/>
      <c r="K163" s="891"/>
    </row>
    <row r="164" spans="1:11" x14ac:dyDescent="0.25">
      <c r="A164" s="1025" t="s">
        <v>1249</v>
      </c>
      <c r="B164" s="1031"/>
      <c r="C164" s="1031"/>
      <c r="D164" s="1031"/>
      <c r="E164" s="1031"/>
      <c r="F164" s="1032"/>
      <c r="G164" s="1025" t="s">
        <v>1250</v>
      </c>
      <c r="H164" s="1031"/>
      <c r="I164" s="1031"/>
      <c r="J164" s="1031"/>
      <c r="K164" s="1032"/>
    </row>
    <row r="165" spans="1:11" ht="27" customHeight="1" thickBot="1" x14ac:dyDescent="0.3">
      <c r="A165" s="1033"/>
      <c r="B165" s="1034"/>
      <c r="C165" s="1034"/>
      <c r="D165" s="1034"/>
      <c r="E165" s="1034"/>
      <c r="F165" s="1035"/>
      <c r="G165" s="1033"/>
      <c r="H165" s="1034"/>
      <c r="I165" s="1034"/>
      <c r="J165" s="1034"/>
      <c r="K165" s="1035"/>
    </row>
    <row r="166" spans="1:11" ht="0.75" customHeight="1" thickBot="1" x14ac:dyDescent="0.3">
      <c r="A166" s="1039"/>
      <c r="B166" s="1040"/>
      <c r="C166" s="1040"/>
      <c r="D166" s="1040"/>
      <c r="E166" s="1040"/>
      <c r="F166" s="1041"/>
      <c r="G166" s="1033"/>
      <c r="H166" s="1034"/>
      <c r="I166" s="1034"/>
      <c r="J166" s="1034"/>
      <c r="K166" s="1035"/>
    </row>
    <row r="167" spans="1:11" x14ac:dyDescent="0.25">
      <c r="A167" s="904" t="s">
        <v>501</v>
      </c>
      <c r="B167" s="905"/>
      <c r="C167" s="905"/>
      <c r="D167" s="905"/>
      <c r="E167" s="905"/>
      <c r="F167" s="906"/>
      <c r="G167" s="904" t="s">
        <v>502</v>
      </c>
      <c r="H167" s="905"/>
      <c r="I167" s="905"/>
      <c r="J167" s="905"/>
      <c r="K167" s="906"/>
    </row>
    <row r="168" spans="1:11" x14ac:dyDescent="0.25">
      <c r="A168" s="889"/>
      <c r="B168" s="890"/>
      <c r="C168" s="890"/>
      <c r="D168" s="890"/>
      <c r="E168" s="890"/>
      <c r="F168" s="891"/>
      <c r="G168" s="889"/>
      <c r="H168" s="890"/>
      <c r="I168" s="890"/>
      <c r="J168" s="890"/>
      <c r="K168" s="891"/>
    </row>
    <row r="169" spans="1:11" x14ac:dyDescent="0.25">
      <c r="A169" s="889"/>
      <c r="B169" s="890"/>
      <c r="C169" s="890"/>
      <c r="D169" s="890"/>
      <c r="E169" s="890"/>
      <c r="F169" s="891"/>
      <c r="G169" s="889"/>
      <c r="H169" s="890"/>
      <c r="I169" s="890"/>
      <c r="J169" s="890"/>
      <c r="K169" s="891"/>
    </row>
    <row r="170" spans="1:11" x14ac:dyDescent="0.25">
      <c r="A170" s="889"/>
      <c r="B170" s="890"/>
      <c r="C170" s="890"/>
      <c r="D170" s="890"/>
      <c r="E170" s="890"/>
      <c r="F170" s="891"/>
      <c r="G170" s="889"/>
      <c r="H170" s="890"/>
      <c r="I170" s="890"/>
      <c r="J170" s="890"/>
      <c r="K170" s="891"/>
    </row>
    <row r="171" spans="1:11" x14ac:dyDescent="0.25">
      <c r="A171" s="889"/>
      <c r="B171" s="890"/>
      <c r="C171" s="890"/>
      <c r="D171" s="890"/>
      <c r="E171" s="890"/>
      <c r="F171" s="891"/>
      <c r="G171" s="889"/>
      <c r="H171" s="890"/>
      <c r="I171" s="890"/>
      <c r="J171" s="890"/>
      <c r="K171" s="891"/>
    </row>
    <row r="172" spans="1:11" x14ac:dyDescent="0.25">
      <c r="A172" s="889"/>
      <c r="B172" s="890"/>
      <c r="C172" s="890"/>
      <c r="D172" s="890"/>
      <c r="E172" s="890"/>
      <c r="F172" s="891"/>
      <c r="G172" s="889"/>
      <c r="H172" s="890"/>
      <c r="I172" s="890"/>
      <c r="J172" s="890"/>
      <c r="K172" s="891"/>
    </row>
    <row r="173" spans="1:11" x14ac:dyDescent="0.25">
      <c r="A173" s="889"/>
      <c r="B173" s="890"/>
      <c r="C173" s="890"/>
      <c r="D173" s="890"/>
      <c r="E173" s="890"/>
      <c r="F173" s="891"/>
      <c r="G173" s="889"/>
      <c r="H173" s="890"/>
      <c r="I173" s="890"/>
      <c r="J173" s="890"/>
      <c r="K173" s="891"/>
    </row>
    <row r="174" spans="1:11" x14ac:dyDescent="0.25">
      <c r="A174" s="889"/>
      <c r="B174" s="890"/>
      <c r="C174" s="890"/>
      <c r="D174" s="890"/>
      <c r="E174" s="890"/>
      <c r="F174" s="891"/>
      <c r="G174" s="889"/>
      <c r="H174" s="890"/>
      <c r="I174" s="890"/>
      <c r="J174" s="890"/>
      <c r="K174" s="891"/>
    </row>
    <row r="175" spans="1:11" x14ac:dyDescent="0.25">
      <c r="A175" s="889"/>
      <c r="B175" s="890"/>
      <c r="C175" s="890"/>
      <c r="D175" s="890"/>
      <c r="E175" s="890"/>
      <c r="F175" s="891"/>
      <c r="G175" s="889"/>
      <c r="H175" s="890"/>
      <c r="I175" s="890"/>
      <c r="J175" s="890"/>
      <c r="K175" s="891"/>
    </row>
    <row r="176" spans="1:11" x14ac:dyDescent="0.25">
      <c r="A176" s="889"/>
      <c r="B176" s="890"/>
      <c r="C176" s="890"/>
      <c r="D176" s="890"/>
      <c r="E176" s="890"/>
      <c r="F176" s="891"/>
      <c r="G176" s="889"/>
      <c r="H176" s="890"/>
      <c r="I176" s="890"/>
      <c r="J176" s="890"/>
      <c r="K176" s="891"/>
    </row>
    <row r="177" spans="1:11" x14ac:dyDescent="0.25">
      <c r="A177" s="889"/>
      <c r="B177" s="890"/>
      <c r="C177" s="890"/>
      <c r="D177" s="890"/>
      <c r="E177" s="890"/>
      <c r="F177" s="891"/>
      <c r="G177" s="889"/>
      <c r="H177" s="890"/>
      <c r="I177" s="890"/>
      <c r="J177" s="890"/>
      <c r="K177" s="891"/>
    </row>
    <row r="178" spans="1:11" x14ac:dyDescent="0.25">
      <c r="A178" s="889"/>
      <c r="B178" s="890"/>
      <c r="C178" s="890"/>
      <c r="D178" s="890"/>
      <c r="E178" s="890"/>
      <c r="F178" s="891"/>
      <c r="G178" s="889"/>
      <c r="H178" s="890"/>
      <c r="I178" s="890"/>
      <c r="J178" s="890"/>
      <c r="K178" s="891"/>
    </row>
    <row r="179" spans="1:11" x14ac:dyDescent="0.25">
      <c r="A179" s="889"/>
      <c r="B179" s="890"/>
      <c r="C179" s="890"/>
      <c r="D179" s="890"/>
      <c r="E179" s="890"/>
      <c r="F179" s="891"/>
      <c r="G179" s="889"/>
      <c r="H179" s="890"/>
      <c r="I179" s="890"/>
      <c r="J179" s="890"/>
      <c r="K179" s="891"/>
    </row>
    <row r="180" spans="1:11" ht="15.75" thickBot="1" x14ac:dyDescent="0.3">
      <c r="A180" s="889"/>
      <c r="B180" s="890"/>
      <c r="C180" s="890"/>
      <c r="D180" s="890"/>
      <c r="E180" s="890"/>
      <c r="F180" s="891"/>
      <c r="G180" s="889"/>
      <c r="H180" s="890"/>
      <c r="I180" s="890"/>
      <c r="J180" s="890"/>
      <c r="K180" s="891"/>
    </row>
    <row r="181" spans="1:11" x14ac:dyDescent="0.25">
      <c r="A181" s="1036" t="s">
        <v>1251</v>
      </c>
      <c r="B181" s="1037"/>
      <c r="C181" s="1037"/>
      <c r="D181" s="1037"/>
      <c r="E181" s="1037"/>
      <c r="F181" s="1038"/>
      <c r="G181" s="1025" t="s">
        <v>1252</v>
      </c>
      <c r="H181" s="1031"/>
      <c r="I181" s="1031"/>
      <c r="J181" s="1031"/>
      <c r="K181" s="1032"/>
    </row>
    <row r="182" spans="1:11" ht="15.75" thickBot="1" x14ac:dyDescent="0.3">
      <c r="A182" s="1039"/>
      <c r="B182" s="1040"/>
      <c r="C182" s="1040"/>
      <c r="D182" s="1040"/>
      <c r="E182" s="1040"/>
      <c r="F182" s="1041"/>
      <c r="G182" s="1033"/>
      <c r="H182" s="1034"/>
      <c r="I182" s="1034"/>
      <c r="J182" s="1034"/>
      <c r="K182" s="1035"/>
    </row>
    <row r="183" spans="1:11" ht="15" customHeight="1" x14ac:dyDescent="0.25">
      <c r="A183" s="904" t="s">
        <v>501</v>
      </c>
      <c r="B183" s="905"/>
      <c r="C183" s="905"/>
      <c r="D183" s="905"/>
      <c r="E183" s="905"/>
      <c r="F183" s="906"/>
      <c r="G183" s="904" t="s">
        <v>502</v>
      </c>
      <c r="H183" s="905"/>
      <c r="I183" s="905"/>
      <c r="J183" s="905"/>
      <c r="K183" s="906"/>
    </row>
    <row r="184" spans="1:11" ht="15" customHeight="1" x14ac:dyDescent="0.25">
      <c r="A184" s="889"/>
      <c r="B184" s="890"/>
      <c r="C184" s="890"/>
      <c r="D184" s="890"/>
      <c r="E184" s="890"/>
      <c r="F184" s="891"/>
      <c r="G184" s="889"/>
      <c r="H184" s="890"/>
      <c r="I184" s="890"/>
      <c r="J184" s="890"/>
      <c r="K184" s="891"/>
    </row>
    <row r="185" spans="1:11" ht="15" customHeight="1" x14ac:dyDescent="0.25">
      <c r="A185" s="889"/>
      <c r="B185" s="890"/>
      <c r="C185" s="890"/>
      <c r="D185" s="890"/>
      <c r="E185" s="890"/>
      <c r="F185" s="891"/>
      <c r="G185" s="889"/>
      <c r="H185" s="890"/>
      <c r="I185" s="890"/>
      <c r="J185" s="890"/>
      <c r="K185" s="891"/>
    </row>
    <row r="186" spans="1:11" ht="15" customHeight="1" x14ac:dyDescent="0.25">
      <c r="A186" s="889"/>
      <c r="B186" s="890"/>
      <c r="C186" s="890"/>
      <c r="D186" s="890"/>
      <c r="E186" s="890"/>
      <c r="F186" s="891"/>
      <c r="G186" s="889"/>
      <c r="H186" s="890"/>
      <c r="I186" s="890"/>
      <c r="J186" s="890"/>
      <c r="K186" s="891"/>
    </row>
    <row r="187" spans="1:11" ht="15" customHeight="1" x14ac:dyDescent="0.25">
      <c r="A187" s="889"/>
      <c r="B187" s="890"/>
      <c r="C187" s="890"/>
      <c r="D187" s="890"/>
      <c r="E187" s="890"/>
      <c r="F187" s="891"/>
      <c r="G187" s="889"/>
      <c r="H187" s="890"/>
      <c r="I187" s="890"/>
      <c r="J187" s="890"/>
      <c r="K187" s="891"/>
    </row>
    <row r="188" spans="1:11" ht="15" customHeight="1" x14ac:dyDescent="0.25">
      <c r="A188" s="889"/>
      <c r="B188" s="890"/>
      <c r="C188" s="890"/>
      <c r="D188" s="890"/>
      <c r="E188" s="890"/>
      <c r="F188" s="891"/>
      <c r="G188" s="889"/>
      <c r="H188" s="890"/>
      <c r="I188" s="890"/>
      <c r="J188" s="890"/>
      <c r="K188" s="891"/>
    </row>
    <row r="189" spans="1:11" ht="15" customHeight="1" x14ac:dyDescent="0.25">
      <c r="A189" s="889"/>
      <c r="B189" s="890"/>
      <c r="C189" s="890"/>
      <c r="D189" s="890"/>
      <c r="E189" s="890"/>
      <c r="F189" s="891"/>
      <c r="G189" s="889"/>
      <c r="H189" s="890"/>
      <c r="I189" s="890"/>
      <c r="J189" s="890"/>
      <c r="K189" s="891"/>
    </row>
    <row r="190" spans="1:11" ht="15" customHeight="1" x14ac:dyDescent="0.25">
      <c r="A190" s="889"/>
      <c r="B190" s="890"/>
      <c r="C190" s="890"/>
      <c r="D190" s="890"/>
      <c r="E190" s="890"/>
      <c r="F190" s="891"/>
      <c r="G190" s="889"/>
      <c r="H190" s="890"/>
      <c r="I190" s="890"/>
      <c r="J190" s="890"/>
      <c r="K190" s="891"/>
    </row>
    <row r="191" spans="1:11" ht="15" customHeight="1" x14ac:dyDescent="0.25">
      <c r="A191" s="889"/>
      <c r="B191" s="890"/>
      <c r="C191" s="890"/>
      <c r="D191" s="890"/>
      <c r="E191" s="890"/>
      <c r="F191" s="891"/>
      <c r="G191" s="889"/>
      <c r="H191" s="890"/>
      <c r="I191" s="890"/>
      <c r="J191" s="890"/>
      <c r="K191" s="891"/>
    </row>
    <row r="192" spans="1:11" ht="15" customHeight="1" x14ac:dyDescent="0.25">
      <c r="A192" s="889"/>
      <c r="B192" s="890"/>
      <c r="C192" s="890"/>
      <c r="D192" s="890"/>
      <c r="E192" s="890"/>
      <c r="F192" s="891"/>
      <c r="G192" s="889"/>
      <c r="H192" s="890"/>
      <c r="I192" s="890"/>
      <c r="J192" s="890"/>
      <c r="K192" s="891"/>
    </row>
    <row r="193" spans="1:11" ht="15" customHeight="1" x14ac:dyDescent="0.25">
      <c r="A193" s="889"/>
      <c r="B193" s="890"/>
      <c r="C193" s="890"/>
      <c r="D193" s="890"/>
      <c r="E193" s="890"/>
      <c r="F193" s="891"/>
      <c r="G193" s="889"/>
      <c r="H193" s="890"/>
      <c r="I193" s="890"/>
      <c r="J193" s="890"/>
      <c r="K193" s="891"/>
    </row>
    <row r="194" spans="1:11" ht="15" customHeight="1" x14ac:dyDescent="0.25">
      <c r="A194" s="889"/>
      <c r="B194" s="890"/>
      <c r="C194" s="890"/>
      <c r="D194" s="890"/>
      <c r="E194" s="890"/>
      <c r="F194" s="891"/>
      <c r="G194" s="889"/>
      <c r="H194" s="890"/>
      <c r="I194" s="890"/>
      <c r="J194" s="890"/>
      <c r="K194" s="891"/>
    </row>
    <row r="195" spans="1:11" ht="15" customHeight="1" x14ac:dyDescent="0.25">
      <c r="A195" s="889"/>
      <c r="B195" s="890"/>
      <c r="C195" s="890"/>
      <c r="D195" s="890"/>
      <c r="E195" s="890"/>
      <c r="F195" s="891"/>
      <c r="G195" s="889"/>
      <c r="H195" s="890"/>
      <c r="I195" s="890"/>
      <c r="J195" s="890"/>
      <c r="K195" s="891"/>
    </row>
    <row r="196" spans="1:11" ht="15" customHeight="1" thickBot="1" x14ac:dyDescent="0.3">
      <c r="A196" s="889"/>
      <c r="B196" s="890"/>
      <c r="C196" s="890"/>
      <c r="D196" s="890"/>
      <c r="E196" s="890"/>
      <c r="F196" s="891"/>
      <c r="G196" s="889"/>
      <c r="H196" s="890"/>
      <c r="I196" s="890"/>
      <c r="J196" s="890"/>
      <c r="K196" s="891"/>
    </row>
    <row r="197" spans="1:11" ht="15" customHeight="1" x14ac:dyDescent="0.25">
      <c r="A197" s="1036" t="s">
        <v>1253</v>
      </c>
      <c r="B197" s="1037"/>
      <c r="C197" s="1037"/>
      <c r="D197" s="1037"/>
      <c r="E197" s="1037"/>
      <c r="F197" s="1038"/>
      <c r="G197" s="1025" t="s">
        <v>1254</v>
      </c>
      <c r="H197" s="1031"/>
      <c r="I197" s="1031"/>
      <c r="J197" s="1031"/>
      <c r="K197" s="1032"/>
    </row>
    <row r="198" spans="1:11" ht="15" customHeight="1" thickBot="1" x14ac:dyDescent="0.3">
      <c r="A198" s="1039"/>
      <c r="B198" s="1040"/>
      <c r="C198" s="1040"/>
      <c r="D198" s="1040"/>
      <c r="E198" s="1040"/>
      <c r="F198" s="1041"/>
      <c r="G198" s="1033"/>
      <c r="H198" s="1034"/>
      <c r="I198" s="1034"/>
      <c r="J198" s="1034"/>
      <c r="K198" s="1035"/>
    </row>
    <row r="199" spans="1:11" ht="15" customHeight="1" x14ac:dyDescent="0.25">
      <c r="A199" s="904" t="s">
        <v>501</v>
      </c>
      <c r="B199" s="905"/>
      <c r="C199" s="905"/>
      <c r="D199" s="905"/>
      <c r="E199" s="905"/>
      <c r="F199" s="906"/>
      <c r="G199" s="904" t="s">
        <v>502</v>
      </c>
      <c r="H199" s="905"/>
      <c r="I199" s="905"/>
      <c r="J199" s="905"/>
      <c r="K199" s="906"/>
    </row>
    <row r="200" spans="1:11" ht="15" customHeight="1" x14ac:dyDescent="0.25">
      <c r="A200" s="889"/>
      <c r="B200" s="890"/>
      <c r="C200" s="890"/>
      <c r="D200" s="890"/>
      <c r="E200" s="890"/>
      <c r="F200" s="891"/>
      <c r="G200" s="889"/>
      <c r="H200" s="890"/>
      <c r="I200" s="890"/>
      <c r="J200" s="890"/>
      <c r="K200" s="891"/>
    </row>
    <row r="201" spans="1:11" ht="15" customHeight="1" x14ac:dyDescent="0.25">
      <c r="A201" s="889"/>
      <c r="B201" s="890"/>
      <c r="C201" s="890"/>
      <c r="D201" s="890"/>
      <c r="E201" s="890"/>
      <c r="F201" s="891"/>
      <c r="G201" s="889"/>
      <c r="H201" s="890"/>
      <c r="I201" s="890"/>
      <c r="J201" s="890"/>
      <c r="K201" s="891"/>
    </row>
    <row r="202" spans="1:11" ht="15" customHeight="1" x14ac:dyDescent="0.25">
      <c r="A202" s="889"/>
      <c r="B202" s="890"/>
      <c r="C202" s="890"/>
      <c r="D202" s="890"/>
      <c r="E202" s="890"/>
      <c r="F202" s="891"/>
      <c r="G202" s="889"/>
      <c r="H202" s="890"/>
      <c r="I202" s="890"/>
      <c r="J202" s="890"/>
      <c r="K202" s="891"/>
    </row>
    <row r="203" spans="1:11" ht="15" customHeight="1" x14ac:dyDescent="0.25">
      <c r="A203" s="889"/>
      <c r="B203" s="890"/>
      <c r="C203" s="890"/>
      <c r="D203" s="890"/>
      <c r="E203" s="890"/>
      <c r="F203" s="891"/>
      <c r="G203" s="889"/>
      <c r="H203" s="890"/>
      <c r="I203" s="890"/>
      <c r="J203" s="890"/>
      <c r="K203" s="891"/>
    </row>
    <row r="204" spans="1:11" ht="15" customHeight="1" x14ac:dyDescent="0.25">
      <c r="A204" s="889"/>
      <c r="B204" s="890"/>
      <c r="C204" s="890"/>
      <c r="D204" s="890"/>
      <c r="E204" s="890"/>
      <c r="F204" s="891"/>
      <c r="G204" s="889"/>
      <c r="H204" s="890"/>
      <c r="I204" s="890"/>
      <c r="J204" s="890"/>
      <c r="K204" s="891"/>
    </row>
    <row r="205" spans="1:11" ht="15" customHeight="1" x14ac:dyDescent="0.25">
      <c r="A205" s="889"/>
      <c r="B205" s="890"/>
      <c r="C205" s="890"/>
      <c r="D205" s="890"/>
      <c r="E205" s="890"/>
      <c r="F205" s="891"/>
      <c r="G205" s="889"/>
      <c r="H205" s="890"/>
      <c r="I205" s="890"/>
      <c r="J205" s="890"/>
      <c r="K205" s="891"/>
    </row>
    <row r="206" spans="1:11" ht="15" customHeight="1" x14ac:dyDescent="0.25">
      <c r="A206" s="889"/>
      <c r="B206" s="890"/>
      <c r="C206" s="890"/>
      <c r="D206" s="890"/>
      <c r="E206" s="890"/>
      <c r="F206" s="891"/>
      <c r="G206" s="889"/>
      <c r="H206" s="890"/>
      <c r="I206" s="890"/>
      <c r="J206" s="890"/>
      <c r="K206" s="891"/>
    </row>
    <row r="207" spans="1:11" ht="15" customHeight="1" x14ac:dyDescent="0.25">
      <c r="A207" s="889"/>
      <c r="B207" s="890"/>
      <c r="C207" s="890"/>
      <c r="D207" s="890"/>
      <c r="E207" s="890"/>
      <c r="F207" s="891"/>
      <c r="G207" s="889"/>
      <c r="H207" s="890"/>
      <c r="I207" s="890"/>
      <c r="J207" s="890"/>
      <c r="K207" s="891"/>
    </row>
    <row r="208" spans="1:11" ht="15" customHeight="1" x14ac:dyDescent="0.25">
      <c r="A208" s="889"/>
      <c r="B208" s="890"/>
      <c r="C208" s="890"/>
      <c r="D208" s="890"/>
      <c r="E208" s="890"/>
      <c r="F208" s="891"/>
      <c r="G208" s="889"/>
      <c r="H208" s="890"/>
      <c r="I208" s="890"/>
      <c r="J208" s="890"/>
      <c r="K208" s="891"/>
    </row>
    <row r="209" spans="1:11" ht="15" customHeight="1" x14ac:dyDescent="0.25">
      <c r="A209" s="889"/>
      <c r="B209" s="890"/>
      <c r="C209" s="890"/>
      <c r="D209" s="890"/>
      <c r="E209" s="890"/>
      <c r="F209" s="891"/>
      <c r="G209" s="889"/>
      <c r="H209" s="890"/>
      <c r="I209" s="890"/>
      <c r="J209" s="890"/>
      <c r="K209" s="891"/>
    </row>
    <row r="210" spans="1:11" ht="15" customHeight="1" x14ac:dyDescent="0.25">
      <c r="A210" s="889"/>
      <c r="B210" s="890"/>
      <c r="C210" s="890"/>
      <c r="D210" s="890"/>
      <c r="E210" s="890"/>
      <c r="F210" s="891"/>
      <c r="G210" s="889"/>
      <c r="H210" s="890"/>
      <c r="I210" s="890"/>
      <c r="J210" s="890"/>
      <c r="K210" s="891"/>
    </row>
    <row r="211" spans="1:11" ht="15" customHeight="1" x14ac:dyDescent="0.25">
      <c r="A211" s="889"/>
      <c r="B211" s="890"/>
      <c r="C211" s="890"/>
      <c r="D211" s="890"/>
      <c r="E211" s="890"/>
      <c r="F211" s="891"/>
      <c r="G211" s="889"/>
      <c r="H211" s="890"/>
      <c r="I211" s="890"/>
      <c r="J211" s="890"/>
      <c r="K211" s="891"/>
    </row>
    <row r="212" spans="1:11" ht="15" customHeight="1" thickBot="1" x14ac:dyDescent="0.3">
      <c r="A212" s="889"/>
      <c r="B212" s="890"/>
      <c r="C212" s="890"/>
      <c r="D212" s="890"/>
      <c r="E212" s="890"/>
      <c r="F212" s="891"/>
      <c r="G212" s="889"/>
      <c r="H212" s="890"/>
      <c r="I212" s="890"/>
      <c r="J212" s="890"/>
      <c r="K212" s="891"/>
    </row>
    <row r="213" spans="1:11" ht="15" customHeight="1" x14ac:dyDescent="0.25">
      <c r="A213" s="1036" t="s">
        <v>1255</v>
      </c>
      <c r="B213" s="1037"/>
      <c r="C213" s="1037"/>
      <c r="D213" s="1037"/>
      <c r="E213" s="1037"/>
      <c r="F213" s="1038"/>
      <c r="G213" s="1025" t="s">
        <v>1256</v>
      </c>
      <c r="H213" s="1031"/>
      <c r="I213" s="1031"/>
      <c r="J213" s="1031"/>
      <c r="K213" s="1032"/>
    </row>
    <row r="214" spans="1:11" ht="15" customHeight="1" thickBot="1" x14ac:dyDescent="0.3">
      <c r="A214" s="1039"/>
      <c r="B214" s="1040"/>
      <c r="C214" s="1040"/>
      <c r="D214" s="1040"/>
      <c r="E214" s="1040"/>
      <c r="F214" s="1041"/>
      <c r="G214" s="1033"/>
      <c r="H214" s="1034"/>
      <c r="I214" s="1034"/>
      <c r="J214" s="1034"/>
      <c r="K214" s="1035"/>
    </row>
    <row r="215" spans="1:11" hidden="1" x14ac:dyDescent="0.25">
      <c r="A215" s="904" t="s">
        <v>503</v>
      </c>
      <c r="B215" s="905"/>
      <c r="C215" s="905"/>
      <c r="D215" s="905"/>
      <c r="E215" s="905"/>
      <c r="F215" s="906"/>
      <c r="G215" s="904" t="s">
        <v>504</v>
      </c>
      <c r="H215" s="905"/>
      <c r="I215" s="905"/>
      <c r="J215" s="905"/>
      <c r="K215" s="906"/>
    </row>
    <row r="216" spans="1:11" hidden="1" x14ac:dyDescent="0.25">
      <c r="A216" s="889"/>
      <c r="B216" s="890"/>
      <c r="C216" s="890"/>
      <c r="D216" s="890"/>
      <c r="E216" s="890"/>
      <c r="F216" s="891"/>
      <c r="G216" s="889"/>
      <c r="H216" s="890"/>
      <c r="I216" s="890"/>
      <c r="J216" s="890"/>
      <c r="K216" s="891"/>
    </row>
    <row r="217" spans="1:11" hidden="1" x14ac:dyDescent="0.25">
      <c r="A217" s="889"/>
      <c r="B217" s="890"/>
      <c r="C217" s="890"/>
      <c r="D217" s="890"/>
      <c r="E217" s="890"/>
      <c r="F217" s="891"/>
      <c r="G217" s="889"/>
      <c r="H217" s="890"/>
      <c r="I217" s="890"/>
      <c r="J217" s="890"/>
      <c r="K217" s="891"/>
    </row>
    <row r="218" spans="1:11" hidden="1" x14ac:dyDescent="0.25">
      <c r="A218" s="889"/>
      <c r="B218" s="890"/>
      <c r="C218" s="890"/>
      <c r="D218" s="890"/>
      <c r="E218" s="890"/>
      <c r="F218" s="891"/>
      <c r="G218" s="889"/>
      <c r="H218" s="890"/>
      <c r="I218" s="890"/>
      <c r="J218" s="890"/>
      <c r="K218" s="891"/>
    </row>
    <row r="219" spans="1:11" hidden="1" x14ac:dyDescent="0.25">
      <c r="A219" s="889"/>
      <c r="B219" s="890"/>
      <c r="C219" s="890"/>
      <c r="D219" s="890"/>
      <c r="E219" s="890"/>
      <c r="F219" s="891"/>
      <c r="G219" s="889"/>
      <c r="H219" s="890"/>
      <c r="I219" s="890"/>
      <c r="J219" s="890"/>
      <c r="K219" s="891"/>
    </row>
    <row r="220" spans="1:11" hidden="1" x14ac:dyDescent="0.25">
      <c r="A220" s="889"/>
      <c r="B220" s="890"/>
      <c r="C220" s="890"/>
      <c r="D220" s="890"/>
      <c r="E220" s="890"/>
      <c r="F220" s="891"/>
      <c r="G220" s="889"/>
      <c r="H220" s="890"/>
      <c r="I220" s="890"/>
      <c r="J220" s="890"/>
      <c r="K220" s="891"/>
    </row>
    <row r="221" spans="1:11" hidden="1" x14ac:dyDescent="0.25">
      <c r="A221" s="889"/>
      <c r="B221" s="890"/>
      <c r="C221" s="890"/>
      <c r="D221" s="890"/>
      <c r="E221" s="890"/>
      <c r="F221" s="891"/>
      <c r="G221" s="889"/>
      <c r="H221" s="890"/>
      <c r="I221" s="890"/>
      <c r="J221" s="890"/>
      <c r="K221" s="891"/>
    </row>
    <row r="222" spans="1:11" hidden="1" x14ac:dyDescent="0.25">
      <c r="A222" s="889"/>
      <c r="B222" s="890"/>
      <c r="C222" s="890"/>
      <c r="D222" s="890"/>
      <c r="E222" s="890"/>
      <c r="F222" s="891"/>
      <c r="G222" s="889"/>
      <c r="H222" s="890"/>
      <c r="I222" s="890"/>
      <c r="J222" s="890"/>
      <c r="K222" s="891"/>
    </row>
    <row r="223" spans="1:11" hidden="1" x14ac:dyDescent="0.25">
      <c r="A223" s="889"/>
      <c r="B223" s="890"/>
      <c r="C223" s="890"/>
      <c r="D223" s="890"/>
      <c r="E223" s="890"/>
      <c r="F223" s="891"/>
      <c r="G223" s="889"/>
      <c r="H223" s="890"/>
      <c r="I223" s="890"/>
      <c r="J223" s="890"/>
      <c r="K223" s="891"/>
    </row>
    <row r="224" spans="1:11" hidden="1" x14ac:dyDescent="0.25">
      <c r="A224" s="889"/>
      <c r="B224" s="890"/>
      <c r="C224" s="890"/>
      <c r="D224" s="890"/>
      <c r="E224" s="890"/>
      <c r="F224" s="891"/>
      <c r="G224" s="889"/>
      <c r="H224" s="890"/>
      <c r="I224" s="890"/>
      <c r="J224" s="890"/>
      <c r="K224" s="891"/>
    </row>
    <row r="225" spans="1:11" hidden="1" x14ac:dyDescent="0.25">
      <c r="A225" s="889"/>
      <c r="B225" s="890"/>
      <c r="C225" s="890"/>
      <c r="D225" s="890"/>
      <c r="E225" s="890"/>
      <c r="F225" s="891"/>
      <c r="G225" s="889"/>
      <c r="H225" s="890"/>
      <c r="I225" s="890"/>
      <c r="J225" s="890"/>
      <c r="K225" s="891"/>
    </row>
    <row r="226" spans="1:11" hidden="1" x14ac:dyDescent="0.25">
      <c r="A226" s="889"/>
      <c r="B226" s="890"/>
      <c r="C226" s="890"/>
      <c r="D226" s="890"/>
      <c r="E226" s="890"/>
      <c r="F226" s="891"/>
      <c r="G226" s="889"/>
      <c r="H226" s="890"/>
      <c r="I226" s="890"/>
      <c r="J226" s="890"/>
      <c r="K226" s="891"/>
    </row>
    <row r="227" spans="1:11" hidden="1" x14ac:dyDescent="0.25">
      <c r="A227" s="889"/>
      <c r="B227" s="890"/>
      <c r="C227" s="890"/>
      <c r="D227" s="890"/>
      <c r="E227" s="890"/>
      <c r="F227" s="891"/>
      <c r="G227" s="889"/>
      <c r="H227" s="890"/>
      <c r="I227" s="890"/>
      <c r="J227" s="890"/>
      <c r="K227" s="891"/>
    </row>
    <row r="228" spans="1:11" hidden="1" x14ac:dyDescent="0.25">
      <c r="A228" s="889"/>
      <c r="B228" s="890"/>
      <c r="C228" s="890"/>
      <c r="D228" s="890"/>
      <c r="E228" s="890"/>
      <c r="F228" s="891"/>
      <c r="G228" s="889"/>
      <c r="H228" s="890"/>
      <c r="I228" s="890"/>
      <c r="J228" s="890"/>
      <c r="K228" s="891"/>
    </row>
    <row r="229" spans="1:11" hidden="1" x14ac:dyDescent="0.25">
      <c r="A229" s="1025" t="s">
        <v>545</v>
      </c>
      <c r="B229" s="1031"/>
      <c r="C229" s="1031"/>
      <c r="D229" s="1031"/>
      <c r="E229" s="1031"/>
      <c r="F229" s="1032"/>
      <c r="G229" s="1025" t="s">
        <v>546</v>
      </c>
      <c r="H229" s="1031"/>
      <c r="I229" s="1031"/>
      <c r="J229" s="1031"/>
      <c r="K229" s="1032"/>
    </row>
    <row r="230" spans="1:11" ht="15.75" hidden="1" thickBot="1" x14ac:dyDescent="0.3">
      <c r="A230" s="1033"/>
      <c r="B230" s="1034"/>
      <c r="C230" s="1034"/>
      <c r="D230" s="1034"/>
      <c r="E230" s="1034"/>
      <c r="F230" s="1035"/>
      <c r="G230" s="1033"/>
      <c r="H230" s="1034"/>
      <c r="I230" s="1034"/>
      <c r="J230" s="1034"/>
      <c r="K230" s="1035"/>
    </row>
    <row r="231" spans="1:11" hidden="1" x14ac:dyDescent="0.25">
      <c r="A231" s="889" t="s">
        <v>452</v>
      </c>
      <c r="B231" s="890"/>
      <c r="C231" s="890"/>
      <c r="D231" s="890"/>
      <c r="E231" s="890"/>
      <c r="F231" s="891"/>
      <c r="G231" s="889" t="s">
        <v>453</v>
      </c>
      <c r="H231" s="890"/>
      <c r="I231" s="890"/>
      <c r="J231" s="890"/>
      <c r="K231" s="891"/>
    </row>
    <row r="232" spans="1:11" hidden="1" x14ac:dyDescent="0.25">
      <c r="A232" s="889"/>
      <c r="B232" s="890"/>
      <c r="C232" s="890"/>
      <c r="D232" s="890"/>
      <c r="E232" s="890"/>
      <c r="F232" s="891"/>
      <c r="G232" s="889"/>
      <c r="H232" s="890"/>
      <c r="I232" s="890"/>
      <c r="J232" s="890"/>
      <c r="K232" s="891"/>
    </row>
    <row r="233" spans="1:11" hidden="1" x14ac:dyDescent="0.25">
      <c r="A233" s="889"/>
      <c r="B233" s="890"/>
      <c r="C233" s="890"/>
      <c r="D233" s="890"/>
      <c r="E233" s="890"/>
      <c r="F233" s="891"/>
      <c r="G233" s="889"/>
      <c r="H233" s="890"/>
      <c r="I233" s="890"/>
      <c r="J233" s="890"/>
      <c r="K233" s="891"/>
    </row>
    <row r="234" spans="1:11" hidden="1" x14ac:dyDescent="0.25">
      <c r="A234" s="889"/>
      <c r="B234" s="890"/>
      <c r="C234" s="890"/>
      <c r="D234" s="890"/>
      <c r="E234" s="890"/>
      <c r="F234" s="891"/>
      <c r="G234" s="889"/>
      <c r="H234" s="890"/>
      <c r="I234" s="890"/>
      <c r="J234" s="890"/>
      <c r="K234" s="891"/>
    </row>
    <row r="235" spans="1:11" hidden="1" x14ac:dyDescent="0.25">
      <c r="A235" s="889"/>
      <c r="B235" s="890"/>
      <c r="C235" s="890"/>
      <c r="D235" s="890"/>
      <c r="E235" s="890"/>
      <c r="F235" s="891"/>
      <c r="G235" s="889"/>
      <c r="H235" s="890"/>
      <c r="I235" s="890"/>
      <c r="J235" s="890"/>
      <c r="K235" s="891"/>
    </row>
    <row r="236" spans="1:11" hidden="1" x14ac:dyDescent="0.25">
      <c r="A236" s="889"/>
      <c r="B236" s="890"/>
      <c r="C236" s="890"/>
      <c r="D236" s="890"/>
      <c r="E236" s="890"/>
      <c r="F236" s="891"/>
      <c r="G236" s="889"/>
      <c r="H236" s="890"/>
      <c r="I236" s="890"/>
      <c r="J236" s="890"/>
      <c r="K236" s="891"/>
    </row>
    <row r="237" spans="1:11" hidden="1" x14ac:dyDescent="0.25">
      <c r="A237" s="889"/>
      <c r="B237" s="890"/>
      <c r="C237" s="890"/>
      <c r="D237" s="890"/>
      <c r="E237" s="890"/>
      <c r="F237" s="891"/>
      <c r="G237" s="889"/>
      <c r="H237" s="890"/>
      <c r="I237" s="890"/>
      <c r="J237" s="890"/>
      <c r="K237" s="891"/>
    </row>
    <row r="238" spans="1:11" hidden="1" x14ac:dyDescent="0.25">
      <c r="A238" s="889"/>
      <c r="B238" s="890"/>
      <c r="C238" s="890"/>
      <c r="D238" s="890"/>
      <c r="E238" s="890"/>
      <c r="F238" s="891"/>
      <c r="G238" s="889"/>
      <c r="H238" s="890"/>
      <c r="I238" s="890"/>
      <c r="J238" s="890"/>
      <c r="K238" s="891"/>
    </row>
    <row r="239" spans="1:11" hidden="1" x14ac:dyDescent="0.25">
      <c r="A239" s="889"/>
      <c r="B239" s="890"/>
      <c r="C239" s="890"/>
      <c r="D239" s="890"/>
      <c r="E239" s="890"/>
      <c r="F239" s="891"/>
      <c r="G239" s="889"/>
      <c r="H239" s="890"/>
      <c r="I239" s="890"/>
      <c r="J239" s="890"/>
      <c r="K239" s="891"/>
    </row>
    <row r="240" spans="1:11" hidden="1" x14ac:dyDescent="0.25">
      <c r="A240" s="889"/>
      <c r="B240" s="890"/>
      <c r="C240" s="890"/>
      <c r="D240" s="890"/>
      <c r="E240" s="890"/>
      <c r="F240" s="891"/>
      <c r="G240" s="889"/>
      <c r="H240" s="890"/>
      <c r="I240" s="890"/>
      <c r="J240" s="890"/>
      <c r="K240" s="891"/>
    </row>
    <row r="241" spans="1:11" hidden="1" x14ac:dyDescent="0.25">
      <c r="A241" s="889"/>
      <c r="B241" s="890"/>
      <c r="C241" s="890"/>
      <c r="D241" s="890"/>
      <c r="E241" s="890"/>
      <c r="F241" s="891"/>
      <c r="G241" s="889"/>
      <c r="H241" s="890"/>
      <c r="I241" s="890"/>
      <c r="J241" s="890"/>
      <c r="K241" s="891"/>
    </row>
    <row r="242" spans="1:11" hidden="1" x14ac:dyDescent="0.25">
      <c r="A242" s="889"/>
      <c r="B242" s="890"/>
      <c r="C242" s="890"/>
      <c r="D242" s="890"/>
      <c r="E242" s="890"/>
      <c r="F242" s="891"/>
      <c r="G242" s="889"/>
      <c r="H242" s="890"/>
      <c r="I242" s="890"/>
      <c r="J242" s="890"/>
      <c r="K242" s="891"/>
    </row>
    <row r="243" spans="1:11" hidden="1" x14ac:dyDescent="0.25">
      <c r="A243" s="889"/>
      <c r="B243" s="890"/>
      <c r="C243" s="890"/>
      <c r="D243" s="890"/>
      <c r="E243" s="890"/>
      <c r="F243" s="891"/>
      <c r="G243" s="889"/>
      <c r="H243" s="890"/>
      <c r="I243" s="890"/>
      <c r="J243" s="890"/>
      <c r="K243" s="891"/>
    </row>
    <row r="244" spans="1:11" hidden="1" x14ac:dyDescent="0.25">
      <c r="A244" s="889"/>
      <c r="B244" s="890"/>
      <c r="C244" s="890"/>
      <c r="D244" s="890"/>
      <c r="E244" s="890"/>
      <c r="F244" s="891"/>
      <c r="G244" s="889"/>
      <c r="H244" s="890"/>
      <c r="I244" s="890"/>
      <c r="J244" s="890"/>
      <c r="K244" s="891"/>
    </row>
    <row r="245" spans="1:11" hidden="1" x14ac:dyDescent="0.25">
      <c r="A245" s="1036" t="s">
        <v>547</v>
      </c>
      <c r="B245" s="1037"/>
      <c r="C245" s="1037"/>
      <c r="D245" s="1037"/>
      <c r="E245" s="1037"/>
      <c r="F245" s="1038"/>
      <c r="G245" s="1025" t="s">
        <v>548</v>
      </c>
      <c r="H245" s="1031"/>
      <c r="I245" s="1031"/>
      <c r="J245" s="1031"/>
      <c r="K245" s="1032"/>
    </row>
    <row r="246" spans="1:11" ht="15.75" hidden="1" thickBot="1" x14ac:dyDescent="0.3">
      <c r="A246" s="1039"/>
      <c r="B246" s="1040"/>
      <c r="C246" s="1040"/>
      <c r="D246" s="1040"/>
      <c r="E246" s="1040"/>
      <c r="F246" s="1041"/>
      <c r="G246" s="1033"/>
      <c r="H246" s="1034"/>
      <c r="I246" s="1034"/>
      <c r="J246" s="1034"/>
      <c r="K246" s="1035"/>
    </row>
    <row r="247" spans="1:11" ht="15" hidden="1" customHeight="1" x14ac:dyDescent="0.25">
      <c r="A247" s="303" t="s">
        <v>501</v>
      </c>
      <c r="B247" s="304"/>
      <c r="C247" s="304"/>
      <c r="D247" s="304"/>
      <c r="E247" s="304"/>
      <c r="F247" s="305"/>
      <c r="G247" s="303" t="s">
        <v>502</v>
      </c>
      <c r="H247" s="304"/>
      <c r="I247" s="304"/>
      <c r="J247" s="304"/>
      <c r="K247" s="305"/>
    </row>
    <row r="248" spans="1:11" ht="15" hidden="1" customHeight="1" x14ac:dyDescent="0.25">
      <c r="A248" s="306"/>
      <c r="B248" s="307"/>
      <c r="C248" s="307"/>
      <c r="D248" s="307"/>
      <c r="E248" s="307"/>
      <c r="F248" s="308"/>
      <c r="G248" s="306"/>
      <c r="H248" s="307"/>
      <c r="I248" s="307"/>
      <c r="J248" s="307"/>
      <c r="K248" s="308"/>
    </row>
    <row r="249" spans="1:11" ht="15" hidden="1" customHeight="1" x14ac:dyDescent="0.25">
      <c r="A249" s="306"/>
      <c r="B249" s="307"/>
      <c r="C249" s="307"/>
      <c r="D249" s="307"/>
      <c r="E249" s="307"/>
      <c r="F249" s="308"/>
      <c r="G249" s="306"/>
      <c r="H249" s="307"/>
      <c r="I249" s="307"/>
      <c r="J249" s="307"/>
      <c r="K249" s="308"/>
    </row>
    <row r="250" spans="1:11" ht="15" hidden="1" customHeight="1" x14ac:dyDescent="0.25">
      <c r="A250" s="306"/>
      <c r="B250" s="307"/>
      <c r="C250" s="307"/>
      <c r="D250" s="307"/>
      <c r="E250" s="307"/>
      <c r="F250" s="308"/>
      <c r="G250" s="306"/>
      <c r="H250" s="307"/>
      <c r="I250" s="307"/>
      <c r="J250" s="307"/>
      <c r="K250" s="308"/>
    </row>
    <row r="251" spans="1:11" ht="15" hidden="1" customHeight="1" x14ac:dyDescent="0.25">
      <c r="A251" s="306"/>
      <c r="B251" s="307"/>
      <c r="C251" s="307"/>
      <c r="D251" s="307"/>
      <c r="E251" s="307"/>
      <c r="F251" s="308"/>
      <c r="G251" s="306"/>
      <c r="H251" s="307"/>
      <c r="I251" s="307"/>
      <c r="J251" s="307"/>
      <c r="K251" s="308"/>
    </row>
    <row r="252" spans="1:11" ht="15" hidden="1" customHeight="1" x14ac:dyDescent="0.25">
      <c r="A252" s="306"/>
      <c r="B252" s="307"/>
      <c r="C252" s="307"/>
      <c r="D252" s="307"/>
      <c r="E252" s="307"/>
      <c r="F252" s="308"/>
      <c r="G252" s="306"/>
      <c r="H252" s="307"/>
      <c r="I252" s="307"/>
      <c r="J252" s="307"/>
      <c r="K252" s="308"/>
    </row>
    <row r="253" spans="1:11" ht="15" hidden="1" customHeight="1" x14ac:dyDescent="0.25">
      <c r="A253" s="306"/>
      <c r="B253" s="307"/>
      <c r="C253" s="307"/>
      <c r="D253" s="307"/>
      <c r="E253" s="307"/>
      <c r="F253" s="308"/>
      <c r="G253" s="306"/>
      <c r="H253" s="307"/>
      <c r="I253" s="307"/>
      <c r="J253" s="307"/>
      <c r="K253" s="308"/>
    </row>
    <row r="254" spans="1:11" ht="15" hidden="1" customHeight="1" x14ac:dyDescent="0.25">
      <c r="A254" s="306"/>
      <c r="B254" s="307"/>
      <c r="C254" s="307"/>
      <c r="D254" s="307"/>
      <c r="E254" s="307"/>
      <c r="F254" s="308"/>
      <c r="G254" s="306"/>
      <c r="H254" s="307"/>
      <c r="I254" s="307"/>
      <c r="J254" s="307"/>
      <c r="K254" s="308"/>
    </row>
    <row r="255" spans="1:11" ht="15" hidden="1" customHeight="1" x14ac:dyDescent="0.25">
      <c r="A255" s="306"/>
      <c r="B255" s="307"/>
      <c r="C255" s="307"/>
      <c r="D255" s="307"/>
      <c r="E255" s="307"/>
      <c r="F255" s="308"/>
      <c r="G255" s="306"/>
      <c r="H255" s="307"/>
      <c r="I255" s="307"/>
      <c r="J255" s="307"/>
      <c r="K255" s="308"/>
    </row>
    <row r="256" spans="1:11" ht="15" hidden="1" customHeight="1" x14ac:dyDescent="0.25">
      <c r="A256" s="306"/>
      <c r="B256" s="307"/>
      <c r="C256" s="307"/>
      <c r="D256" s="307"/>
      <c r="E256" s="307"/>
      <c r="F256" s="308"/>
      <c r="G256" s="306"/>
      <c r="H256" s="307"/>
      <c r="I256" s="307"/>
      <c r="J256" s="307"/>
      <c r="K256" s="308"/>
    </row>
    <row r="257" spans="1:11" ht="15" hidden="1" customHeight="1" x14ac:dyDescent="0.25">
      <c r="A257" s="306"/>
      <c r="B257" s="307"/>
      <c r="C257" s="307"/>
      <c r="D257" s="307"/>
      <c r="E257" s="307"/>
      <c r="F257" s="308"/>
      <c r="G257" s="306"/>
      <c r="H257" s="307"/>
      <c r="I257" s="307"/>
      <c r="J257" s="307"/>
      <c r="K257" s="308"/>
    </row>
    <row r="258" spans="1:11" ht="15" hidden="1" customHeight="1" x14ac:dyDescent="0.25">
      <c r="A258" s="306"/>
      <c r="B258" s="307"/>
      <c r="C258" s="307"/>
      <c r="D258" s="307"/>
      <c r="E258" s="307"/>
      <c r="F258" s="308"/>
      <c r="G258" s="306"/>
      <c r="H258" s="307"/>
      <c r="I258" s="307"/>
      <c r="J258" s="307"/>
      <c r="K258" s="308"/>
    </row>
    <row r="259" spans="1:11" ht="15" hidden="1" customHeight="1" x14ac:dyDescent="0.25">
      <c r="A259" s="306"/>
      <c r="B259" s="307"/>
      <c r="C259" s="307"/>
      <c r="D259" s="307"/>
      <c r="E259" s="307"/>
      <c r="F259" s="308"/>
      <c r="G259" s="306"/>
      <c r="H259" s="307"/>
      <c r="I259" s="307"/>
      <c r="J259" s="307"/>
      <c r="K259" s="308"/>
    </row>
    <row r="260" spans="1:11" ht="15" customHeight="1" x14ac:dyDescent="0.25">
      <c r="A260" s="889"/>
      <c r="B260" s="890"/>
      <c r="C260" s="890"/>
      <c r="D260" s="890"/>
      <c r="E260" s="890"/>
      <c r="F260" s="891"/>
      <c r="G260" s="889"/>
      <c r="H260" s="890"/>
      <c r="I260" s="890"/>
      <c r="J260" s="890"/>
      <c r="K260" s="891"/>
    </row>
    <row r="261" spans="1:11" ht="15" customHeight="1" x14ac:dyDescent="0.25">
      <c r="A261" s="889"/>
      <c r="B261" s="890"/>
      <c r="C261" s="890"/>
      <c r="D261" s="890"/>
      <c r="E261" s="890"/>
      <c r="F261" s="891"/>
      <c r="G261" s="889"/>
      <c r="H261" s="890"/>
      <c r="I261" s="890"/>
      <c r="J261" s="890"/>
      <c r="K261" s="891"/>
    </row>
    <row r="262" spans="1:11" ht="15" customHeight="1" x14ac:dyDescent="0.25">
      <c r="A262" s="889"/>
      <c r="B262" s="890"/>
      <c r="C262" s="890"/>
      <c r="D262" s="890"/>
      <c r="E262" s="890"/>
      <c r="F262" s="891"/>
      <c r="G262" s="889"/>
      <c r="H262" s="890"/>
      <c r="I262" s="890"/>
      <c r="J262" s="890"/>
      <c r="K262" s="891"/>
    </row>
    <row r="263" spans="1:11" ht="15" customHeight="1" x14ac:dyDescent="0.25">
      <c r="A263" s="889"/>
      <c r="B263" s="890"/>
      <c r="C263" s="890"/>
      <c r="D263" s="890"/>
      <c r="E263" s="890"/>
      <c r="F263" s="891"/>
      <c r="G263" s="889"/>
      <c r="H263" s="890"/>
      <c r="I263" s="890"/>
      <c r="J263" s="890"/>
      <c r="K263" s="891"/>
    </row>
    <row r="264" spans="1:11" ht="15" customHeight="1" x14ac:dyDescent="0.25">
      <c r="A264" s="889"/>
      <c r="B264" s="890"/>
      <c r="C264" s="890"/>
      <c r="D264" s="890"/>
      <c r="E264" s="890"/>
      <c r="F264" s="891"/>
      <c r="G264" s="889"/>
      <c r="H264" s="890"/>
      <c r="I264" s="890"/>
      <c r="J264" s="890"/>
      <c r="K264" s="891"/>
    </row>
    <row r="265" spans="1:11" ht="15" customHeight="1" x14ac:dyDescent="0.25">
      <c r="A265" s="889"/>
      <c r="B265" s="890"/>
      <c r="C265" s="890"/>
      <c r="D265" s="890"/>
      <c r="E265" s="890"/>
      <c r="F265" s="891"/>
      <c r="G265" s="889"/>
      <c r="H265" s="890"/>
      <c r="I265" s="890"/>
      <c r="J265" s="890"/>
      <c r="K265" s="891"/>
    </row>
    <row r="266" spans="1:11" ht="15" customHeight="1" x14ac:dyDescent="0.25">
      <c r="A266" s="889"/>
      <c r="B266" s="890"/>
      <c r="C266" s="890"/>
      <c r="D266" s="890"/>
      <c r="E266" s="890"/>
      <c r="F266" s="891"/>
      <c r="G266" s="889"/>
      <c r="H266" s="890"/>
      <c r="I266" s="890"/>
      <c r="J266" s="890"/>
      <c r="K266" s="891"/>
    </row>
    <row r="267" spans="1:11" ht="15" customHeight="1" x14ac:dyDescent="0.25">
      <c r="A267" s="889"/>
      <c r="B267" s="890"/>
      <c r="C267" s="890"/>
      <c r="D267" s="890"/>
      <c r="E267" s="890"/>
      <c r="F267" s="891"/>
      <c r="G267" s="889"/>
      <c r="H267" s="890"/>
      <c r="I267" s="890"/>
      <c r="J267" s="890"/>
      <c r="K267" s="891"/>
    </row>
    <row r="268" spans="1:11" ht="15" customHeight="1" x14ac:dyDescent="0.25">
      <c r="A268" s="889"/>
      <c r="B268" s="890"/>
      <c r="C268" s="890"/>
      <c r="D268" s="890"/>
      <c r="E268" s="890"/>
      <c r="F268" s="891"/>
      <c r="G268" s="889"/>
      <c r="H268" s="890"/>
      <c r="I268" s="890"/>
      <c r="J268" s="890"/>
      <c r="K268" s="891"/>
    </row>
    <row r="269" spans="1:11" ht="15" customHeight="1" x14ac:dyDescent="0.25">
      <c r="A269" s="889"/>
      <c r="B269" s="890"/>
      <c r="C269" s="890"/>
      <c r="D269" s="890"/>
      <c r="E269" s="890"/>
      <c r="F269" s="891"/>
      <c r="G269" s="889"/>
      <c r="H269" s="890"/>
      <c r="I269" s="890"/>
      <c r="J269" s="890"/>
      <c r="K269" s="891"/>
    </row>
    <row r="270" spans="1:11" ht="15" customHeight="1" x14ac:dyDescent="0.25">
      <c r="A270" s="889"/>
      <c r="B270" s="890"/>
      <c r="C270" s="890"/>
      <c r="D270" s="890"/>
      <c r="E270" s="890"/>
      <c r="F270" s="891"/>
      <c r="G270" s="889"/>
      <c r="H270" s="890"/>
      <c r="I270" s="890"/>
      <c r="J270" s="890"/>
      <c r="K270" s="891"/>
    </row>
    <row r="271" spans="1:11" ht="15" customHeight="1" x14ac:dyDescent="0.25">
      <c r="A271" s="889"/>
      <c r="B271" s="890"/>
      <c r="C271" s="890"/>
      <c r="D271" s="890"/>
      <c r="E271" s="890"/>
      <c r="F271" s="891"/>
      <c r="G271" s="889"/>
      <c r="H271" s="890"/>
      <c r="I271" s="890"/>
      <c r="J271" s="890"/>
      <c r="K271" s="891"/>
    </row>
    <row r="272" spans="1:11" ht="15" customHeight="1" x14ac:dyDescent="0.25">
      <c r="A272" s="889"/>
      <c r="B272" s="890"/>
      <c r="C272" s="890"/>
      <c r="D272" s="890"/>
      <c r="E272" s="890"/>
      <c r="F272" s="891"/>
      <c r="G272" s="889"/>
      <c r="H272" s="890"/>
      <c r="I272" s="890"/>
      <c r="J272" s="890"/>
      <c r="K272" s="891"/>
    </row>
    <row r="273" spans="1:11" ht="15" customHeight="1" thickBot="1" x14ac:dyDescent="0.3">
      <c r="A273" s="889"/>
      <c r="B273" s="890"/>
      <c r="C273" s="890"/>
      <c r="D273" s="890"/>
      <c r="E273" s="890"/>
      <c r="F273" s="891"/>
      <c r="G273" s="889"/>
      <c r="H273" s="890"/>
      <c r="I273" s="890"/>
      <c r="J273" s="890"/>
      <c r="K273" s="891"/>
    </row>
    <row r="274" spans="1:11" s="309" customFormat="1" ht="15" customHeight="1" x14ac:dyDescent="0.25">
      <c r="A274" s="1036" t="s">
        <v>1257</v>
      </c>
      <c r="B274" s="1037"/>
      <c r="C274" s="1037"/>
      <c r="D274" s="1037"/>
      <c r="E274" s="1037"/>
      <c r="F274" s="1038"/>
      <c r="G274" s="1025" t="s">
        <v>1258</v>
      </c>
      <c r="H274" s="1031"/>
      <c r="I274" s="1031"/>
      <c r="J274" s="1031"/>
      <c r="K274" s="1032"/>
    </row>
    <row r="275" spans="1:11" s="310" customFormat="1" ht="15" customHeight="1" thickBot="1" x14ac:dyDescent="0.3">
      <c r="A275" s="1039"/>
      <c r="B275" s="1040"/>
      <c r="C275" s="1040"/>
      <c r="D275" s="1040"/>
      <c r="E275" s="1040"/>
      <c r="F275" s="1041"/>
      <c r="G275" s="1033"/>
      <c r="H275" s="1034"/>
      <c r="I275" s="1034"/>
      <c r="J275" s="1034"/>
      <c r="K275" s="1035"/>
    </row>
    <row r="276" spans="1:11" ht="15" customHeight="1" x14ac:dyDescent="0.25">
      <c r="A276" s="904"/>
      <c r="B276" s="905"/>
      <c r="C276" s="905"/>
      <c r="D276" s="905"/>
      <c r="E276" s="905"/>
      <c r="F276" s="906"/>
      <c r="G276" s="904"/>
      <c r="H276" s="905"/>
      <c r="I276" s="905"/>
      <c r="J276" s="905"/>
      <c r="K276" s="906"/>
    </row>
    <row r="277" spans="1:11" ht="15" customHeight="1" x14ac:dyDescent="0.25">
      <c r="A277" s="889"/>
      <c r="B277" s="890"/>
      <c r="C277" s="890"/>
      <c r="D277" s="890"/>
      <c r="E277" s="890"/>
      <c r="F277" s="891"/>
      <c r="G277" s="889"/>
      <c r="H277" s="890"/>
      <c r="I277" s="890"/>
      <c r="J277" s="890"/>
      <c r="K277" s="891"/>
    </row>
    <row r="278" spans="1:11" ht="15" customHeight="1" x14ac:dyDescent="0.25">
      <c r="A278" s="889"/>
      <c r="B278" s="890"/>
      <c r="C278" s="890"/>
      <c r="D278" s="890"/>
      <c r="E278" s="890"/>
      <c r="F278" s="891"/>
      <c r="G278" s="889"/>
      <c r="H278" s="890"/>
      <c r="I278" s="890"/>
      <c r="J278" s="890"/>
      <c r="K278" s="891"/>
    </row>
    <row r="279" spans="1:11" ht="15" customHeight="1" x14ac:dyDescent="0.25">
      <c r="A279" s="889"/>
      <c r="B279" s="890"/>
      <c r="C279" s="890"/>
      <c r="D279" s="890"/>
      <c r="E279" s="890"/>
      <c r="F279" s="891"/>
      <c r="G279" s="889"/>
      <c r="H279" s="890"/>
      <c r="I279" s="890"/>
      <c r="J279" s="890"/>
      <c r="K279" s="891"/>
    </row>
    <row r="280" spans="1:11" ht="15" customHeight="1" x14ac:dyDescent="0.25">
      <c r="A280" s="889"/>
      <c r="B280" s="890"/>
      <c r="C280" s="890"/>
      <c r="D280" s="890"/>
      <c r="E280" s="890"/>
      <c r="F280" s="891"/>
      <c r="G280" s="889"/>
      <c r="H280" s="890"/>
      <c r="I280" s="890"/>
      <c r="J280" s="890"/>
      <c r="K280" s="891"/>
    </row>
    <row r="281" spans="1:11" ht="15" customHeight="1" x14ac:dyDescent="0.25">
      <c r="A281" s="889"/>
      <c r="B281" s="890"/>
      <c r="C281" s="890"/>
      <c r="D281" s="890"/>
      <c r="E281" s="890"/>
      <c r="F281" s="891"/>
      <c r="G281" s="889"/>
      <c r="H281" s="890"/>
      <c r="I281" s="890"/>
      <c r="J281" s="890"/>
      <c r="K281" s="891"/>
    </row>
    <row r="282" spans="1:11" ht="15" customHeight="1" x14ac:dyDescent="0.25">
      <c r="A282" s="889"/>
      <c r="B282" s="890"/>
      <c r="C282" s="890"/>
      <c r="D282" s="890"/>
      <c r="E282" s="890"/>
      <c r="F282" s="891"/>
      <c r="G282" s="889"/>
      <c r="H282" s="890"/>
      <c r="I282" s="890"/>
      <c r="J282" s="890"/>
      <c r="K282" s="891"/>
    </row>
    <row r="283" spans="1:11" ht="15" customHeight="1" x14ac:dyDescent="0.25">
      <c r="A283" s="889"/>
      <c r="B283" s="890"/>
      <c r="C283" s="890"/>
      <c r="D283" s="890"/>
      <c r="E283" s="890"/>
      <c r="F283" s="891"/>
      <c r="G283" s="889"/>
      <c r="H283" s="890"/>
      <c r="I283" s="890"/>
      <c r="J283" s="890"/>
      <c r="K283" s="891"/>
    </row>
    <row r="284" spans="1:11" ht="15" customHeight="1" x14ac:dyDescent="0.25">
      <c r="A284" s="889"/>
      <c r="B284" s="890"/>
      <c r="C284" s="890"/>
      <c r="D284" s="890"/>
      <c r="E284" s="890"/>
      <c r="F284" s="891"/>
      <c r="G284" s="889"/>
      <c r="H284" s="890"/>
      <c r="I284" s="890"/>
      <c r="J284" s="890"/>
      <c r="K284" s="891"/>
    </row>
    <row r="285" spans="1:11" ht="15" customHeight="1" x14ac:dyDescent="0.25">
      <c r="A285" s="889"/>
      <c r="B285" s="890"/>
      <c r="C285" s="890"/>
      <c r="D285" s="890"/>
      <c r="E285" s="890"/>
      <c r="F285" s="891"/>
      <c r="G285" s="889"/>
      <c r="H285" s="890"/>
      <c r="I285" s="890"/>
      <c r="J285" s="890"/>
      <c r="K285" s="891"/>
    </row>
    <row r="286" spans="1:11" ht="15" customHeight="1" x14ac:dyDescent="0.25">
      <c r="A286" s="889"/>
      <c r="B286" s="890"/>
      <c r="C286" s="890"/>
      <c r="D286" s="890"/>
      <c r="E286" s="890"/>
      <c r="F286" s="891"/>
      <c r="G286" s="889"/>
      <c r="H286" s="890"/>
      <c r="I286" s="890"/>
      <c r="J286" s="890"/>
      <c r="K286" s="891"/>
    </row>
    <row r="287" spans="1:11" ht="15" customHeight="1" x14ac:dyDescent="0.25">
      <c r="A287" s="889"/>
      <c r="B287" s="890"/>
      <c r="C287" s="890"/>
      <c r="D287" s="890"/>
      <c r="E287" s="890"/>
      <c r="F287" s="891"/>
      <c r="G287" s="889"/>
      <c r="H287" s="890"/>
      <c r="I287" s="890"/>
      <c r="J287" s="890"/>
      <c r="K287" s="891"/>
    </row>
    <row r="288" spans="1:11" ht="15" customHeight="1" x14ac:dyDescent="0.25">
      <c r="A288" s="889"/>
      <c r="B288" s="890"/>
      <c r="C288" s="890"/>
      <c r="D288" s="890"/>
      <c r="E288" s="890"/>
      <c r="F288" s="891"/>
      <c r="G288" s="889"/>
      <c r="H288" s="890"/>
      <c r="I288" s="890"/>
      <c r="J288" s="890"/>
      <c r="K288" s="891"/>
    </row>
    <row r="289" spans="1:11" ht="15" customHeight="1" x14ac:dyDescent="0.25">
      <c r="A289" s="889"/>
      <c r="B289" s="890"/>
      <c r="C289" s="890"/>
      <c r="D289" s="890"/>
      <c r="E289" s="890"/>
      <c r="F289" s="891"/>
      <c r="G289" s="889"/>
      <c r="H289" s="890"/>
      <c r="I289" s="890"/>
      <c r="J289" s="890"/>
      <c r="K289" s="891"/>
    </row>
    <row r="290" spans="1:11" ht="6" customHeight="1" thickBot="1" x14ac:dyDescent="0.3">
      <c r="A290" s="889"/>
      <c r="B290" s="890"/>
      <c r="C290" s="890"/>
      <c r="D290" s="890"/>
      <c r="E290" s="890"/>
      <c r="F290" s="891"/>
      <c r="G290" s="889"/>
      <c r="H290" s="890"/>
      <c r="I290" s="890"/>
      <c r="J290" s="890"/>
      <c r="K290" s="891"/>
    </row>
    <row r="291" spans="1:11" x14ac:dyDescent="0.25">
      <c r="A291" s="1036" t="s">
        <v>1259</v>
      </c>
      <c r="B291" s="1037"/>
      <c r="C291" s="1037"/>
      <c r="D291" s="1037"/>
      <c r="E291" s="1037"/>
      <c r="F291" s="1038"/>
      <c r="G291" s="1025" t="s">
        <v>1260</v>
      </c>
      <c r="H291" s="1031"/>
      <c r="I291" s="1031"/>
      <c r="J291" s="1031"/>
      <c r="K291" s="1032"/>
    </row>
    <row r="292" spans="1:11" ht="15.75" thickBot="1" x14ac:dyDescent="0.3">
      <c r="A292" s="1039"/>
      <c r="B292" s="1040"/>
      <c r="C292" s="1040"/>
      <c r="D292" s="1040"/>
      <c r="E292" s="1040"/>
      <c r="F292" s="1041"/>
      <c r="G292" s="1033"/>
      <c r="H292" s="1034"/>
      <c r="I292" s="1034"/>
      <c r="J292" s="1034"/>
      <c r="K292" s="1035"/>
    </row>
    <row r="293" spans="1:11" ht="15" customHeight="1" x14ac:dyDescent="0.25">
      <c r="A293" s="904"/>
      <c r="B293" s="905"/>
      <c r="C293" s="905"/>
      <c r="D293" s="905"/>
      <c r="E293" s="905"/>
      <c r="F293" s="906"/>
      <c r="G293" s="904"/>
      <c r="H293" s="905"/>
      <c r="I293" s="905"/>
      <c r="J293" s="905"/>
      <c r="K293" s="906"/>
    </row>
    <row r="294" spans="1:11" ht="15" customHeight="1" x14ac:dyDescent="0.25">
      <c r="A294" s="889"/>
      <c r="B294" s="890"/>
      <c r="C294" s="890"/>
      <c r="D294" s="890"/>
      <c r="E294" s="890"/>
      <c r="F294" s="891"/>
      <c r="G294" s="889"/>
      <c r="H294" s="890"/>
      <c r="I294" s="890"/>
      <c r="J294" s="890"/>
      <c r="K294" s="891"/>
    </row>
    <row r="295" spans="1:11" ht="15" customHeight="1" x14ac:dyDescent="0.25">
      <c r="A295" s="889"/>
      <c r="B295" s="890"/>
      <c r="C295" s="890"/>
      <c r="D295" s="890"/>
      <c r="E295" s="890"/>
      <c r="F295" s="891"/>
      <c r="G295" s="889"/>
      <c r="H295" s="890"/>
      <c r="I295" s="890"/>
      <c r="J295" s="890"/>
      <c r="K295" s="891"/>
    </row>
    <row r="296" spans="1:11" ht="15" customHeight="1" x14ac:dyDescent="0.25">
      <c r="A296" s="889"/>
      <c r="B296" s="890"/>
      <c r="C296" s="890"/>
      <c r="D296" s="890"/>
      <c r="E296" s="890"/>
      <c r="F296" s="891"/>
      <c r="G296" s="889"/>
      <c r="H296" s="890"/>
      <c r="I296" s="890"/>
      <c r="J296" s="890"/>
      <c r="K296" s="891"/>
    </row>
    <row r="297" spans="1:11" ht="15" customHeight="1" x14ac:dyDescent="0.25">
      <c r="A297" s="889"/>
      <c r="B297" s="890"/>
      <c r="C297" s="890"/>
      <c r="D297" s="890"/>
      <c r="E297" s="890"/>
      <c r="F297" s="891"/>
      <c r="G297" s="889"/>
      <c r="H297" s="890"/>
      <c r="I297" s="890"/>
      <c r="J297" s="890"/>
      <c r="K297" s="891"/>
    </row>
    <row r="298" spans="1:11" ht="15" customHeight="1" x14ac:dyDescent="0.25">
      <c r="A298" s="889"/>
      <c r="B298" s="890"/>
      <c r="C298" s="890"/>
      <c r="D298" s="890"/>
      <c r="E298" s="890"/>
      <c r="F298" s="891"/>
      <c r="G298" s="889"/>
      <c r="H298" s="890"/>
      <c r="I298" s="890"/>
      <c r="J298" s="890"/>
      <c r="K298" s="891"/>
    </row>
    <row r="299" spans="1:11" ht="15" customHeight="1" x14ac:dyDescent="0.25">
      <c r="A299" s="889"/>
      <c r="B299" s="890"/>
      <c r="C299" s="890"/>
      <c r="D299" s="890"/>
      <c r="E299" s="890"/>
      <c r="F299" s="891"/>
      <c r="G299" s="889"/>
      <c r="H299" s="890"/>
      <c r="I299" s="890"/>
      <c r="J299" s="890"/>
      <c r="K299" s="891"/>
    </row>
    <row r="300" spans="1:11" ht="15" customHeight="1" x14ac:dyDescent="0.25">
      <c r="A300" s="889"/>
      <c r="B300" s="890"/>
      <c r="C300" s="890"/>
      <c r="D300" s="890"/>
      <c r="E300" s="890"/>
      <c r="F300" s="891"/>
      <c r="G300" s="889"/>
      <c r="H300" s="890"/>
      <c r="I300" s="890"/>
      <c r="J300" s="890"/>
      <c r="K300" s="891"/>
    </row>
    <row r="301" spans="1:11" ht="15" customHeight="1" x14ac:dyDescent="0.25">
      <c r="A301" s="889"/>
      <c r="B301" s="890"/>
      <c r="C301" s="890"/>
      <c r="D301" s="890"/>
      <c r="E301" s="890"/>
      <c r="F301" s="891"/>
      <c r="G301" s="889"/>
      <c r="H301" s="890"/>
      <c r="I301" s="890"/>
      <c r="J301" s="890"/>
      <c r="K301" s="891"/>
    </row>
    <row r="302" spans="1:11" ht="15" customHeight="1" x14ac:dyDescent="0.25">
      <c r="A302" s="889"/>
      <c r="B302" s="890"/>
      <c r="C302" s="890"/>
      <c r="D302" s="890"/>
      <c r="E302" s="890"/>
      <c r="F302" s="891"/>
      <c r="G302" s="889"/>
      <c r="H302" s="890"/>
      <c r="I302" s="890"/>
      <c r="J302" s="890"/>
      <c r="K302" s="891"/>
    </row>
    <row r="303" spans="1:11" ht="15" customHeight="1" x14ac:dyDescent="0.25">
      <c r="A303" s="889"/>
      <c r="B303" s="890"/>
      <c r="C303" s="890"/>
      <c r="D303" s="890"/>
      <c r="E303" s="890"/>
      <c r="F303" s="891"/>
      <c r="G303" s="889"/>
      <c r="H303" s="890"/>
      <c r="I303" s="890"/>
      <c r="J303" s="890"/>
      <c r="K303" s="891"/>
    </row>
    <row r="304" spans="1:11" ht="15" customHeight="1" x14ac:dyDescent="0.25">
      <c r="A304" s="889"/>
      <c r="B304" s="890"/>
      <c r="C304" s="890"/>
      <c r="D304" s="890"/>
      <c r="E304" s="890"/>
      <c r="F304" s="891"/>
      <c r="G304" s="889"/>
      <c r="H304" s="890"/>
      <c r="I304" s="890"/>
      <c r="J304" s="890"/>
      <c r="K304" s="891"/>
    </row>
    <row r="305" spans="1:11" ht="15" customHeight="1" x14ac:dyDescent="0.25">
      <c r="A305" s="889"/>
      <c r="B305" s="890"/>
      <c r="C305" s="890"/>
      <c r="D305" s="890"/>
      <c r="E305" s="890"/>
      <c r="F305" s="891"/>
      <c r="G305" s="889"/>
      <c r="H305" s="890"/>
      <c r="I305" s="890"/>
      <c r="J305" s="890"/>
      <c r="K305" s="891"/>
    </row>
    <row r="306" spans="1:11" ht="15" customHeight="1" x14ac:dyDescent="0.25">
      <c r="A306" s="889"/>
      <c r="B306" s="890"/>
      <c r="C306" s="890"/>
      <c r="D306" s="890"/>
      <c r="E306" s="890"/>
      <c r="F306" s="891"/>
      <c r="G306" s="889"/>
      <c r="H306" s="890"/>
      <c r="I306" s="890"/>
      <c r="J306" s="890"/>
      <c r="K306" s="891"/>
    </row>
    <row r="307" spans="1:11" ht="6" customHeight="1" thickBot="1" x14ac:dyDescent="0.3">
      <c r="A307" s="889"/>
      <c r="B307" s="890"/>
      <c r="C307" s="890"/>
      <c r="D307" s="890"/>
      <c r="E307" s="890"/>
      <c r="F307" s="891"/>
      <c r="G307" s="889"/>
      <c r="H307" s="890"/>
      <c r="I307" s="890"/>
      <c r="J307" s="890"/>
      <c r="K307" s="891"/>
    </row>
    <row r="308" spans="1:11" x14ac:dyDescent="0.25">
      <c r="A308" s="1036" t="s">
        <v>1261</v>
      </c>
      <c r="B308" s="1037"/>
      <c r="C308" s="1037"/>
      <c r="D308" s="1037"/>
      <c r="E308" s="1037"/>
      <c r="F308" s="1038"/>
      <c r="G308" s="1025" t="s">
        <v>1262</v>
      </c>
      <c r="H308" s="1031"/>
      <c r="I308" s="1031"/>
      <c r="J308" s="1031"/>
      <c r="K308" s="1032"/>
    </row>
    <row r="309" spans="1:11" ht="15.75" thickBot="1" x14ac:dyDescent="0.3">
      <c r="A309" s="1039"/>
      <c r="B309" s="1040"/>
      <c r="C309" s="1040"/>
      <c r="D309" s="1040"/>
      <c r="E309" s="1040"/>
      <c r="F309" s="1041"/>
      <c r="G309" s="1033"/>
      <c r="H309" s="1034"/>
      <c r="I309" s="1034"/>
      <c r="J309" s="1034"/>
      <c r="K309" s="1035"/>
    </row>
    <row r="310" spans="1:11" ht="15" customHeight="1" x14ac:dyDescent="0.25">
      <c r="A310" s="904"/>
      <c r="B310" s="905"/>
      <c r="C310" s="905"/>
      <c r="D310" s="905"/>
      <c r="E310" s="905"/>
      <c r="F310" s="906"/>
      <c r="G310" s="904"/>
      <c r="H310" s="905"/>
      <c r="I310" s="905"/>
      <c r="J310" s="905"/>
      <c r="K310" s="906"/>
    </row>
    <row r="311" spans="1:11" ht="15" customHeight="1" x14ac:dyDescent="0.25">
      <c r="A311" s="889"/>
      <c r="B311" s="890"/>
      <c r="C311" s="890"/>
      <c r="D311" s="890"/>
      <c r="E311" s="890"/>
      <c r="F311" s="891"/>
      <c r="G311" s="889"/>
      <c r="H311" s="890"/>
      <c r="I311" s="890"/>
      <c r="J311" s="890"/>
      <c r="K311" s="891"/>
    </row>
    <row r="312" spans="1:11" ht="15" customHeight="1" x14ac:dyDescent="0.25">
      <c r="A312" s="889"/>
      <c r="B312" s="890"/>
      <c r="C312" s="890"/>
      <c r="D312" s="890"/>
      <c r="E312" s="890"/>
      <c r="F312" s="891"/>
      <c r="G312" s="889"/>
      <c r="H312" s="890"/>
      <c r="I312" s="890"/>
      <c r="J312" s="890"/>
      <c r="K312" s="891"/>
    </row>
    <row r="313" spans="1:11" ht="15" customHeight="1" x14ac:dyDescent="0.25">
      <c r="A313" s="889"/>
      <c r="B313" s="890"/>
      <c r="C313" s="890"/>
      <c r="D313" s="890"/>
      <c r="E313" s="890"/>
      <c r="F313" s="891"/>
      <c r="G313" s="889"/>
      <c r="H313" s="890"/>
      <c r="I313" s="890"/>
      <c r="J313" s="890"/>
      <c r="K313" s="891"/>
    </row>
    <row r="314" spans="1:11" ht="15" customHeight="1" x14ac:dyDescent="0.25">
      <c r="A314" s="889"/>
      <c r="B314" s="890"/>
      <c r="C314" s="890"/>
      <c r="D314" s="890"/>
      <c r="E314" s="890"/>
      <c r="F314" s="891"/>
      <c r="G314" s="889"/>
      <c r="H314" s="890"/>
      <c r="I314" s="890"/>
      <c r="J314" s="890"/>
      <c r="K314" s="891"/>
    </row>
    <row r="315" spans="1:11" ht="15" customHeight="1" x14ac:dyDescent="0.25">
      <c r="A315" s="889"/>
      <c r="B315" s="890"/>
      <c r="C315" s="890"/>
      <c r="D315" s="890"/>
      <c r="E315" s="890"/>
      <c r="F315" s="891"/>
      <c r="G315" s="889"/>
      <c r="H315" s="890"/>
      <c r="I315" s="890"/>
      <c r="J315" s="890"/>
      <c r="K315" s="891"/>
    </row>
    <row r="316" spans="1:11" ht="15" customHeight="1" x14ac:dyDescent="0.25">
      <c r="A316" s="889"/>
      <c r="B316" s="890"/>
      <c r="C316" s="890"/>
      <c r="D316" s="890"/>
      <c r="E316" s="890"/>
      <c r="F316" s="891"/>
      <c r="G316" s="889"/>
      <c r="H316" s="890"/>
      <c r="I316" s="890"/>
      <c r="J316" s="890"/>
      <c r="K316" s="891"/>
    </row>
    <row r="317" spans="1:11" ht="15" customHeight="1" x14ac:dyDescent="0.25">
      <c r="A317" s="889"/>
      <c r="B317" s="890"/>
      <c r="C317" s="890"/>
      <c r="D317" s="890"/>
      <c r="E317" s="890"/>
      <c r="F317" s="891"/>
      <c r="G317" s="889"/>
      <c r="H317" s="890"/>
      <c r="I317" s="890"/>
      <c r="J317" s="890"/>
      <c r="K317" s="891"/>
    </row>
    <row r="318" spans="1:11" ht="15" customHeight="1" x14ac:dyDescent="0.25">
      <c r="A318" s="889"/>
      <c r="B318" s="890"/>
      <c r="C318" s="890"/>
      <c r="D318" s="890"/>
      <c r="E318" s="890"/>
      <c r="F318" s="891"/>
      <c r="G318" s="889"/>
      <c r="H318" s="890"/>
      <c r="I318" s="890"/>
      <c r="J318" s="890"/>
      <c r="K318" s="891"/>
    </row>
    <row r="319" spans="1:11" ht="15" customHeight="1" x14ac:dyDescent="0.25">
      <c r="A319" s="889"/>
      <c r="B319" s="890"/>
      <c r="C319" s="890"/>
      <c r="D319" s="890"/>
      <c r="E319" s="890"/>
      <c r="F319" s="891"/>
      <c r="G319" s="889"/>
      <c r="H319" s="890"/>
      <c r="I319" s="890"/>
      <c r="J319" s="890"/>
      <c r="K319" s="891"/>
    </row>
    <row r="320" spans="1:11" ht="15" customHeight="1" x14ac:dyDescent="0.25">
      <c r="A320" s="889"/>
      <c r="B320" s="890"/>
      <c r="C320" s="890"/>
      <c r="D320" s="890"/>
      <c r="E320" s="890"/>
      <c r="F320" s="891"/>
      <c r="G320" s="889"/>
      <c r="H320" s="890"/>
      <c r="I320" s="890"/>
      <c r="J320" s="890"/>
      <c r="K320" s="891"/>
    </row>
    <row r="321" spans="1:11" ht="15" customHeight="1" x14ac:dyDescent="0.25">
      <c r="A321" s="889"/>
      <c r="B321" s="890"/>
      <c r="C321" s="890"/>
      <c r="D321" s="890"/>
      <c r="E321" s="890"/>
      <c r="F321" s="891"/>
      <c r="G321" s="889"/>
      <c r="H321" s="890"/>
      <c r="I321" s="890"/>
      <c r="J321" s="890"/>
      <c r="K321" s="891"/>
    </row>
    <row r="322" spans="1:11" ht="15" customHeight="1" x14ac:dyDescent="0.25">
      <c r="A322" s="889"/>
      <c r="B322" s="890"/>
      <c r="C322" s="890"/>
      <c r="D322" s="890"/>
      <c r="E322" s="890"/>
      <c r="F322" s="891"/>
      <c r="G322" s="889"/>
      <c r="H322" s="890"/>
      <c r="I322" s="890"/>
      <c r="J322" s="890"/>
      <c r="K322" s="891"/>
    </row>
    <row r="323" spans="1:11" ht="15" customHeight="1" x14ac:dyDescent="0.25">
      <c r="A323" s="889"/>
      <c r="B323" s="890"/>
      <c r="C323" s="890"/>
      <c r="D323" s="890"/>
      <c r="E323" s="890"/>
      <c r="F323" s="891"/>
      <c r="G323" s="889"/>
      <c r="H323" s="890"/>
      <c r="I323" s="890"/>
      <c r="J323" s="890"/>
      <c r="K323" s="891"/>
    </row>
    <row r="324" spans="1:11" ht="6" customHeight="1" thickBot="1" x14ac:dyDescent="0.3">
      <c r="A324" s="889"/>
      <c r="B324" s="890"/>
      <c r="C324" s="890"/>
      <c r="D324" s="890"/>
      <c r="E324" s="890"/>
      <c r="F324" s="891"/>
      <c r="G324" s="889"/>
      <c r="H324" s="890"/>
      <c r="I324" s="890"/>
      <c r="J324" s="890"/>
      <c r="K324" s="891"/>
    </row>
    <row r="325" spans="1:11" x14ac:dyDescent="0.25">
      <c r="A325" s="1036" t="s">
        <v>1263</v>
      </c>
      <c r="B325" s="1037"/>
      <c r="C325" s="1037"/>
      <c r="D325" s="1037"/>
      <c r="E325" s="1037"/>
      <c r="F325" s="1038"/>
      <c r="G325" s="1025" t="s">
        <v>1264</v>
      </c>
      <c r="H325" s="1031"/>
      <c r="I325" s="1031"/>
      <c r="J325" s="1031"/>
      <c r="K325" s="1032"/>
    </row>
    <row r="326" spans="1:11" ht="15.75" thickBot="1" x14ac:dyDescent="0.3">
      <c r="A326" s="1039"/>
      <c r="B326" s="1040"/>
      <c r="C326" s="1040"/>
      <c r="D326" s="1040"/>
      <c r="E326" s="1040"/>
      <c r="F326" s="1041"/>
      <c r="G326" s="1033"/>
      <c r="H326" s="1034"/>
      <c r="I326" s="1034"/>
      <c r="J326" s="1034"/>
      <c r="K326" s="1035"/>
    </row>
    <row r="327" spans="1:11" x14ac:dyDescent="0.25">
      <c r="A327" s="904" t="s">
        <v>503</v>
      </c>
      <c r="B327" s="905"/>
      <c r="C327" s="905"/>
      <c r="D327" s="905"/>
      <c r="E327" s="905"/>
      <c r="F327" s="906"/>
      <c r="G327" s="904" t="s">
        <v>504</v>
      </c>
      <c r="H327" s="905"/>
      <c r="I327" s="905"/>
      <c r="J327" s="905"/>
      <c r="K327" s="906"/>
    </row>
    <row r="328" spans="1:11" x14ac:dyDescent="0.25">
      <c r="A328" s="889"/>
      <c r="B328" s="890"/>
      <c r="C328" s="890"/>
      <c r="D328" s="890"/>
      <c r="E328" s="890"/>
      <c r="F328" s="891"/>
      <c r="G328" s="889"/>
      <c r="H328" s="890"/>
      <c r="I328" s="890"/>
      <c r="J328" s="890"/>
      <c r="K328" s="891"/>
    </row>
    <row r="329" spans="1:11" x14ac:dyDescent="0.25">
      <c r="A329" s="889"/>
      <c r="B329" s="890"/>
      <c r="C329" s="890"/>
      <c r="D329" s="890"/>
      <c r="E329" s="890"/>
      <c r="F329" s="891"/>
      <c r="G329" s="889"/>
      <c r="H329" s="890"/>
      <c r="I329" s="890"/>
      <c r="J329" s="890"/>
      <c r="K329" s="891"/>
    </row>
    <row r="330" spans="1:11" x14ac:dyDescent="0.25">
      <c r="A330" s="889"/>
      <c r="B330" s="890"/>
      <c r="C330" s="890"/>
      <c r="D330" s="890"/>
      <c r="E330" s="890"/>
      <c r="F330" s="891"/>
      <c r="G330" s="889"/>
      <c r="H330" s="890"/>
      <c r="I330" s="890"/>
      <c r="J330" s="890"/>
      <c r="K330" s="891"/>
    </row>
    <row r="331" spans="1:11" x14ac:dyDescent="0.25">
      <c r="A331" s="889"/>
      <c r="B331" s="890"/>
      <c r="C331" s="890"/>
      <c r="D331" s="890"/>
      <c r="E331" s="890"/>
      <c r="F331" s="891"/>
      <c r="G331" s="889"/>
      <c r="H331" s="890"/>
      <c r="I331" s="890"/>
      <c r="J331" s="890"/>
      <c r="K331" s="891"/>
    </row>
    <row r="332" spans="1:11" x14ac:dyDescent="0.25">
      <c r="A332" s="889"/>
      <c r="B332" s="890"/>
      <c r="C332" s="890"/>
      <c r="D332" s="890"/>
      <c r="E332" s="890"/>
      <c r="F332" s="891"/>
      <c r="G332" s="889"/>
      <c r="H332" s="890"/>
      <c r="I332" s="890"/>
      <c r="J332" s="890"/>
      <c r="K332" s="891"/>
    </row>
    <row r="333" spans="1:11" x14ac:dyDescent="0.25">
      <c r="A333" s="889"/>
      <c r="B333" s="890"/>
      <c r="C333" s="890"/>
      <c r="D333" s="890"/>
      <c r="E333" s="890"/>
      <c r="F333" s="891"/>
      <c r="G333" s="889"/>
      <c r="H333" s="890"/>
      <c r="I333" s="890"/>
      <c r="J333" s="890"/>
      <c r="K333" s="891"/>
    </row>
    <row r="334" spans="1:11" x14ac:dyDescent="0.25">
      <c r="A334" s="889"/>
      <c r="B334" s="890"/>
      <c r="C334" s="890"/>
      <c r="D334" s="890"/>
      <c r="E334" s="890"/>
      <c r="F334" s="891"/>
      <c r="G334" s="889"/>
      <c r="H334" s="890"/>
      <c r="I334" s="890"/>
      <c r="J334" s="890"/>
      <c r="K334" s="891"/>
    </row>
    <row r="335" spans="1:11" x14ac:dyDescent="0.25">
      <c r="A335" s="889"/>
      <c r="B335" s="890"/>
      <c r="C335" s="890"/>
      <c r="D335" s="890"/>
      <c r="E335" s="890"/>
      <c r="F335" s="891"/>
      <c r="G335" s="889"/>
      <c r="H335" s="890"/>
      <c r="I335" s="890"/>
      <c r="J335" s="890"/>
      <c r="K335" s="891"/>
    </row>
    <row r="336" spans="1:11" x14ac:dyDescent="0.25">
      <c r="A336" s="889"/>
      <c r="B336" s="890"/>
      <c r="C336" s="890"/>
      <c r="D336" s="890"/>
      <c r="E336" s="890"/>
      <c r="F336" s="891"/>
      <c r="G336" s="889"/>
      <c r="H336" s="890"/>
      <c r="I336" s="890"/>
      <c r="J336" s="890"/>
      <c r="K336" s="891"/>
    </row>
    <row r="337" spans="1:11" x14ac:dyDescent="0.25">
      <c r="A337" s="889"/>
      <c r="B337" s="890"/>
      <c r="C337" s="890"/>
      <c r="D337" s="890"/>
      <c r="E337" s="890"/>
      <c r="F337" s="891"/>
      <c r="G337" s="889"/>
      <c r="H337" s="890"/>
      <c r="I337" s="890"/>
      <c r="J337" s="890"/>
      <c r="K337" s="891"/>
    </row>
    <row r="338" spans="1:11" x14ac:dyDescent="0.25">
      <c r="A338" s="889"/>
      <c r="B338" s="890"/>
      <c r="C338" s="890"/>
      <c r="D338" s="890"/>
      <c r="E338" s="890"/>
      <c r="F338" s="891"/>
      <c r="G338" s="889"/>
      <c r="H338" s="890"/>
      <c r="I338" s="890"/>
      <c r="J338" s="890"/>
      <c r="K338" s="891"/>
    </row>
    <row r="339" spans="1:11" x14ac:dyDescent="0.25">
      <c r="A339" s="889"/>
      <c r="B339" s="890"/>
      <c r="C339" s="890"/>
      <c r="D339" s="890"/>
      <c r="E339" s="890"/>
      <c r="F339" s="891"/>
      <c r="G339" s="889"/>
      <c r="H339" s="890"/>
      <c r="I339" s="890"/>
      <c r="J339" s="890"/>
      <c r="K339" s="891"/>
    </row>
    <row r="340" spans="1:11" ht="15.75" thickBot="1" x14ac:dyDescent="0.3">
      <c r="A340" s="889"/>
      <c r="B340" s="890"/>
      <c r="C340" s="890"/>
      <c r="D340" s="890"/>
      <c r="E340" s="890"/>
      <c r="F340" s="891"/>
      <c r="G340" s="889"/>
      <c r="H340" s="890"/>
      <c r="I340" s="890"/>
      <c r="J340" s="890"/>
      <c r="K340" s="891"/>
    </row>
    <row r="341" spans="1:11" x14ac:dyDescent="0.25">
      <c r="A341" s="1025" t="s">
        <v>1265</v>
      </c>
      <c r="B341" s="1031"/>
      <c r="C341" s="1031"/>
      <c r="D341" s="1031"/>
      <c r="E341" s="1031"/>
      <c r="F341" s="1032"/>
      <c r="G341" s="1025" t="s">
        <v>1266</v>
      </c>
      <c r="H341" s="1031"/>
      <c r="I341" s="1031"/>
      <c r="J341" s="1031"/>
      <c r="K341" s="1032"/>
    </row>
    <row r="342" spans="1:11" ht="15.75" thickBot="1" x14ac:dyDescent="0.3">
      <c r="A342" s="1033"/>
      <c r="B342" s="1034"/>
      <c r="C342" s="1034"/>
      <c r="D342" s="1034"/>
      <c r="E342" s="1034"/>
      <c r="F342" s="1035"/>
      <c r="G342" s="1033"/>
      <c r="H342" s="1034"/>
      <c r="I342" s="1034"/>
      <c r="J342" s="1034"/>
      <c r="K342" s="1035"/>
    </row>
    <row r="343" spans="1:11" x14ac:dyDescent="0.25">
      <c r="A343" s="904" t="s">
        <v>503</v>
      </c>
      <c r="B343" s="905"/>
      <c r="C343" s="905"/>
      <c r="D343" s="905"/>
      <c r="E343" s="905"/>
      <c r="F343" s="906"/>
      <c r="G343" s="904" t="s">
        <v>504</v>
      </c>
      <c r="H343" s="905"/>
      <c r="I343" s="905"/>
      <c r="J343" s="905"/>
      <c r="K343" s="906"/>
    </row>
    <row r="344" spans="1:11" x14ac:dyDescent="0.25">
      <c r="A344" s="889"/>
      <c r="B344" s="890"/>
      <c r="C344" s="890"/>
      <c r="D344" s="890"/>
      <c r="E344" s="890"/>
      <c r="F344" s="891"/>
      <c r="G344" s="889"/>
      <c r="H344" s="890"/>
      <c r="I344" s="890"/>
      <c r="J344" s="890"/>
      <c r="K344" s="891"/>
    </row>
    <row r="345" spans="1:11" x14ac:dyDescent="0.25">
      <c r="A345" s="889"/>
      <c r="B345" s="890"/>
      <c r="C345" s="890"/>
      <c r="D345" s="890"/>
      <c r="E345" s="890"/>
      <c r="F345" s="891"/>
      <c r="G345" s="889"/>
      <c r="H345" s="890"/>
      <c r="I345" s="890"/>
      <c r="J345" s="890"/>
      <c r="K345" s="891"/>
    </row>
    <row r="346" spans="1:11" x14ac:dyDescent="0.25">
      <c r="A346" s="889"/>
      <c r="B346" s="890"/>
      <c r="C346" s="890"/>
      <c r="D346" s="890"/>
      <c r="E346" s="890"/>
      <c r="F346" s="891"/>
      <c r="G346" s="889"/>
      <c r="H346" s="890"/>
      <c r="I346" s="890"/>
      <c r="J346" s="890"/>
      <c r="K346" s="891"/>
    </row>
    <row r="347" spans="1:11" x14ac:dyDescent="0.25">
      <c r="A347" s="889"/>
      <c r="B347" s="890"/>
      <c r="C347" s="890"/>
      <c r="D347" s="890"/>
      <c r="E347" s="890"/>
      <c r="F347" s="891"/>
      <c r="G347" s="889"/>
      <c r="H347" s="890"/>
      <c r="I347" s="890"/>
      <c r="J347" s="890"/>
      <c r="K347" s="891"/>
    </row>
    <row r="348" spans="1:11" x14ac:dyDescent="0.25">
      <c r="A348" s="889"/>
      <c r="B348" s="890"/>
      <c r="C348" s="890"/>
      <c r="D348" s="890"/>
      <c r="E348" s="890"/>
      <c r="F348" s="891"/>
      <c r="G348" s="889"/>
      <c r="H348" s="890"/>
      <c r="I348" s="890"/>
      <c r="J348" s="890"/>
      <c r="K348" s="891"/>
    </row>
    <row r="349" spans="1:11" x14ac:dyDescent="0.25">
      <c r="A349" s="889"/>
      <c r="B349" s="890"/>
      <c r="C349" s="890"/>
      <c r="D349" s="890"/>
      <c r="E349" s="890"/>
      <c r="F349" s="891"/>
      <c r="G349" s="889"/>
      <c r="H349" s="890"/>
      <c r="I349" s="890"/>
      <c r="J349" s="890"/>
      <c r="K349" s="891"/>
    </row>
    <row r="350" spans="1:11" x14ac:dyDescent="0.25">
      <c r="A350" s="889"/>
      <c r="B350" s="890"/>
      <c r="C350" s="890"/>
      <c r="D350" s="890"/>
      <c r="E350" s="890"/>
      <c r="F350" s="891"/>
      <c r="G350" s="889"/>
      <c r="H350" s="890"/>
      <c r="I350" s="890"/>
      <c r="J350" s="890"/>
      <c r="K350" s="891"/>
    </row>
    <row r="351" spans="1:11" x14ac:dyDescent="0.25">
      <c r="A351" s="889"/>
      <c r="B351" s="890"/>
      <c r="C351" s="890"/>
      <c r="D351" s="890"/>
      <c r="E351" s="890"/>
      <c r="F351" s="891"/>
      <c r="G351" s="889"/>
      <c r="H351" s="890"/>
      <c r="I351" s="890"/>
      <c r="J351" s="890"/>
      <c r="K351" s="891"/>
    </row>
    <row r="352" spans="1:11" x14ac:dyDescent="0.25">
      <c r="A352" s="889"/>
      <c r="B352" s="890"/>
      <c r="C352" s="890"/>
      <c r="D352" s="890"/>
      <c r="E352" s="890"/>
      <c r="F352" s="891"/>
      <c r="G352" s="889"/>
      <c r="H352" s="890"/>
      <c r="I352" s="890"/>
      <c r="J352" s="890"/>
      <c r="K352" s="891"/>
    </row>
    <row r="353" spans="1:11" x14ac:dyDescent="0.25">
      <c r="A353" s="889"/>
      <c r="B353" s="890"/>
      <c r="C353" s="890"/>
      <c r="D353" s="890"/>
      <c r="E353" s="890"/>
      <c r="F353" s="891"/>
      <c r="G353" s="889"/>
      <c r="H353" s="890"/>
      <c r="I353" s="890"/>
      <c r="J353" s="890"/>
      <c r="K353" s="891"/>
    </row>
    <row r="354" spans="1:11" x14ac:dyDescent="0.25">
      <c r="A354" s="889"/>
      <c r="B354" s="890"/>
      <c r="C354" s="890"/>
      <c r="D354" s="890"/>
      <c r="E354" s="890"/>
      <c r="F354" s="891"/>
      <c r="G354" s="889"/>
      <c r="H354" s="890"/>
      <c r="I354" s="890"/>
      <c r="J354" s="890"/>
      <c r="K354" s="891"/>
    </row>
    <row r="355" spans="1:11" x14ac:dyDescent="0.25">
      <c r="A355" s="889"/>
      <c r="B355" s="890"/>
      <c r="C355" s="890"/>
      <c r="D355" s="890"/>
      <c r="E355" s="890"/>
      <c r="F355" s="891"/>
      <c r="G355" s="889"/>
      <c r="H355" s="890"/>
      <c r="I355" s="890"/>
      <c r="J355" s="890"/>
      <c r="K355" s="891"/>
    </row>
    <row r="356" spans="1:11" ht="15.75" thickBot="1" x14ac:dyDescent="0.3">
      <c r="A356" s="889"/>
      <c r="B356" s="890"/>
      <c r="C356" s="890"/>
      <c r="D356" s="890"/>
      <c r="E356" s="890"/>
      <c r="F356" s="891"/>
      <c r="G356" s="889"/>
      <c r="H356" s="890"/>
      <c r="I356" s="890"/>
      <c r="J356" s="890"/>
      <c r="K356" s="891"/>
    </row>
    <row r="357" spans="1:11" x14ac:dyDescent="0.25">
      <c r="A357" s="1025" t="s">
        <v>1267</v>
      </c>
      <c r="B357" s="1031"/>
      <c r="C357" s="1031"/>
      <c r="D357" s="1031"/>
      <c r="E357" s="1031"/>
      <c r="F357" s="1032"/>
      <c r="G357" s="1025" t="s">
        <v>1268</v>
      </c>
      <c r="H357" s="1031"/>
      <c r="I357" s="1031"/>
      <c r="J357" s="1031"/>
      <c r="K357" s="1032"/>
    </row>
    <row r="358" spans="1:11" ht="31.5" customHeight="1" thickBot="1" x14ac:dyDescent="0.3">
      <c r="A358" s="1033"/>
      <c r="B358" s="1034"/>
      <c r="C358" s="1034"/>
      <c r="D358" s="1034"/>
      <c r="E358" s="1034"/>
      <c r="F358" s="1035"/>
      <c r="G358" s="1033"/>
      <c r="H358" s="1034"/>
      <c r="I358" s="1034"/>
      <c r="J358" s="1034"/>
      <c r="K358" s="1035"/>
    </row>
    <row r="359" spans="1:11" x14ac:dyDescent="0.25">
      <c r="A359" s="904" t="s">
        <v>503</v>
      </c>
      <c r="B359" s="905"/>
      <c r="C359" s="905"/>
      <c r="D359" s="905"/>
      <c r="E359" s="905"/>
      <c r="F359" s="906"/>
      <c r="G359" s="904" t="s">
        <v>504</v>
      </c>
      <c r="H359" s="905"/>
      <c r="I359" s="905"/>
      <c r="J359" s="905"/>
      <c r="K359" s="906"/>
    </row>
    <row r="360" spans="1:11" x14ac:dyDescent="0.25">
      <c r="A360" s="889"/>
      <c r="B360" s="890"/>
      <c r="C360" s="890"/>
      <c r="D360" s="890"/>
      <c r="E360" s="890"/>
      <c r="F360" s="891"/>
      <c r="G360" s="889"/>
      <c r="H360" s="890"/>
      <c r="I360" s="890"/>
      <c r="J360" s="890"/>
      <c r="K360" s="891"/>
    </row>
    <row r="361" spans="1:11" x14ac:dyDescent="0.25">
      <c r="A361" s="889"/>
      <c r="B361" s="890"/>
      <c r="C361" s="890"/>
      <c r="D361" s="890"/>
      <c r="E361" s="890"/>
      <c r="F361" s="891"/>
      <c r="G361" s="889"/>
      <c r="H361" s="890"/>
      <c r="I361" s="890"/>
      <c r="J361" s="890"/>
      <c r="K361" s="891"/>
    </row>
    <row r="362" spans="1:11" x14ac:dyDescent="0.25">
      <c r="A362" s="889"/>
      <c r="B362" s="890"/>
      <c r="C362" s="890"/>
      <c r="D362" s="890"/>
      <c r="E362" s="890"/>
      <c r="F362" s="891"/>
      <c r="G362" s="889"/>
      <c r="H362" s="890"/>
      <c r="I362" s="890"/>
      <c r="J362" s="890"/>
      <c r="K362" s="891"/>
    </row>
    <row r="363" spans="1:11" x14ac:dyDescent="0.25">
      <c r="A363" s="889"/>
      <c r="B363" s="890"/>
      <c r="C363" s="890"/>
      <c r="D363" s="890"/>
      <c r="E363" s="890"/>
      <c r="F363" s="891"/>
      <c r="G363" s="889"/>
      <c r="H363" s="890"/>
      <c r="I363" s="890"/>
      <c r="J363" s="890"/>
      <c r="K363" s="891"/>
    </row>
    <row r="364" spans="1:11" x14ac:dyDescent="0.25">
      <c r="A364" s="889"/>
      <c r="B364" s="890"/>
      <c r="C364" s="890"/>
      <c r="D364" s="890"/>
      <c r="E364" s="890"/>
      <c r="F364" s="891"/>
      <c r="G364" s="889"/>
      <c r="H364" s="890"/>
      <c r="I364" s="890"/>
      <c r="J364" s="890"/>
      <c r="K364" s="891"/>
    </row>
    <row r="365" spans="1:11" x14ac:dyDescent="0.25">
      <c r="A365" s="889"/>
      <c r="B365" s="890"/>
      <c r="C365" s="890"/>
      <c r="D365" s="890"/>
      <c r="E365" s="890"/>
      <c r="F365" s="891"/>
      <c r="G365" s="889"/>
      <c r="H365" s="890"/>
      <c r="I365" s="890"/>
      <c r="J365" s="890"/>
      <c r="K365" s="891"/>
    </row>
    <row r="366" spans="1:11" x14ac:dyDescent="0.25">
      <c r="A366" s="889"/>
      <c r="B366" s="890"/>
      <c r="C366" s="890"/>
      <c r="D366" s="890"/>
      <c r="E366" s="890"/>
      <c r="F366" s="891"/>
      <c r="G366" s="889"/>
      <c r="H366" s="890"/>
      <c r="I366" s="890"/>
      <c r="J366" s="890"/>
      <c r="K366" s="891"/>
    </row>
    <row r="367" spans="1:11" x14ac:dyDescent="0.25">
      <c r="A367" s="889"/>
      <c r="B367" s="890"/>
      <c r="C367" s="890"/>
      <c r="D367" s="890"/>
      <c r="E367" s="890"/>
      <c r="F367" s="891"/>
      <c r="G367" s="889"/>
      <c r="H367" s="890"/>
      <c r="I367" s="890"/>
      <c r="J367" s="890"/>
      <c r="K367" s="891"/>
    </row>
    <row r="368" spans="1:11" x14ac:dyDescent="0.25">
      <c r="A368" s="889"/>
      <c r="B368" s="890"/>
      <c r="C368" s="890"/>
      <c r="D368" s="890"/>
      <c r="E368" s="890"/>
      <c r="F368" s="891"/>
      <c r="G368" s="889"/>
      <c r="H368" s="890"/>
      <c r="I368" s="890"/>
      <c r="J368" s="890"/>
      <c r="K368" s="891"/>
    </row>
    <row r="369" spans="1:11" x14ac:dyDescent="0.25">
      <c r="A369" s="889"/>
      <c r="B369" s="890"/>
      <c r="C369" s="890"/>
      <c r="D369" s="890"/>
      <c r="E369" s="890"/>
      <c r="F369" s="891"/>
      <c r="G369" s="889"/>
      <c r="H369" s="890"/>
      <c r="I369" s="890"/>
      <c r="J369" s="890"/>
      <c r="K369" s="891"/>
    </row>
    <row r="370" spans="1:11" x14ac:dyDescent="0.25">
      <c r="A370" s="889"/>
      <c r="B370" s="890"/>
      <c r="C370" s="890"/>
      <c r="D370" s="890"/>
      <c r="E370" s="890"/>
      <c r="F370" s="891"/>
      <c r="G370" s="889"/>
      <c r="H370" s="890"/>
      <c r="I370" s="890"/>
      <c r="J370" s="890"/>
      <c r="K370" s="891"/>
    </row>
    <row r="371" spans="1:11" x14ac:dyDescent="0.25">
      <c r="A371" s="889"/>
      <c r="B371" s="890"/>
      <c r="C371" s="890"/>
      <c r="D371" s="890"/>
      <c r="E371" s="890"/>
      <c r="F371" s="891"/>
      <c r="G371" s="889"/>
      <c r="H371" s="890"/>
      <c r="I371" s="890"/>
      <c r="J371" s="890"/>
      <c r="K371" s="891"/>
    </row>
    <row r="372" spans="1:11" ht="15.75" thickBot="1" x14ac:dyDescent="0.3">
      <c r="A372" s="889"/>
      <c r="B372" s="890"/>
      <c r="C372" s="890"/>
      <c r="D372" s="890"/>
      <c r="E372" s="890"/>
      <c r="F372" s="891"/>
      <c r="G372" s="889"/>
      <c r="H372" s="890"/>
      <c r="I372" s="890"/>
      <c r="J372" s="890"/>
      <c r="K372" s="891"/>
    </row>
    <row r="373" spans="1:11" x14ac:dyDescent="0.25">
      <c r="A373" s="1025" t="s">
        <v>1269</v>
      </c>
      <c r="B373" s="1031"/>
      <c r="C373" s="1031"/>
      <c r="D373" s="1031"/>
      <c r="E373" s="1031"/>
      <c r="F373" s="1032"/>
      <c r="G373" s="1025" t="s">
        <v>1270</v>
      </c>
      <c r="H373" s="1031"/>
      <c r="I373" s="1031"/>
      <c r="J373" s="1031"/>
      <c r="K373" s="1032"/>
    </row>
    <row r="374" spans="1:11" ht="15.75" thickBot="1" x14ac:dyDescent="0.3">
      <c r="A374" s="1033"/>
      <c r="B374" s="1034"/>
      <c r="C374" s="1034"/>
      <c r="D374" s="1034"/>
      <c r="E374" s="1034"/>
      <c r="F374" s="1035"/>
      <c r="G374" s="1033"/>
      <c r="H374" s="1034"/>
      <c r="I374" s="1034"/>
      <c r="J374" s="1034"/>
      <c r="K374" s="1035"/>
    </row>
    <row r="375" spans="1:11" x14ac:dyDescent="0.25">
      <c r="A375" s="904" t="s">
        <v>501</v>
      </c>
      <c r="B375" s="905"/>
      <c r="C375" s="905"/>
      <c r="D375" s="905"/>
      <c r="E375" s="905"/>
      <c r="F375" s="906"/>
      <c r="G375" s="904"/>
      <c r="H375" s="905"/>
      <c r="I375" s="905"/>
      <c r="J375" s="905"/>
      <c r="K375" s="906"/>
    </row>
    <row r="376" spans="1:11" x14ac:dyDescent="0.25">
      <c r="A376" s="889"/>
      <c r="B376" s="890"/>
      <c r="C376" s="890"/>
      <c r="D376" s="890"/>
      <c r="E376" s="890"/>
      <c r="F376" s="891"/>
      <c r="G376" s="889"/>
      <c r="H376" s="890"/>
      <c r="I376" s="890"/>
      <c r="J376" s="890"/>
      <c r="K376" s="891"/>
    </row>
    <row r="377" spans="1:11" x14ac:dyDescent="0.25">
      <c r="A377" s="889"/>
      <c r="B377" s="890"/>
      <c r="C377" s="890"/>
      <c r="D377" s="890"/>
      <c r="E377" s="890"/>
      <c r="F377" s="891"/>
      <c r="G377" s="889"/>
      <c r="H377" s="890"/>
      <c r="I377" s="890"/>
      <c r="J377" s="890"/>
      <c r="K377" s="891"/>
    </row>
    <row r="378" spans="1:11" x14ac:dyDescent="0.25">
      <c r="A378" s="889"/>
      <c r="B378" s="890"/>
      <c r="C378" s="890"/>
      <c r="D378" s="890"/>
      <c r="E378" s="890"/>
      <c r="F378" s="891"/>
      <c r="G378" s="889"/>
      <c r="H378" s="890"/>
      <c r="I378" s="890"/>
      <c r="J378" s="890"/>
      <c r="K378" s="891"/>
    </row>
    <row r="379" spans="1:11" x14ac:dyDescent="0.25">
      <c r="A379" s="889"/>
      <c r="B379" s="890"/>
      <c r="C379" s="890"/>
      <c r="D379" s="890"/>
      <c r="E379" s="890"/>
      <c r="F379" s="891"/>
      <c r="G379" s="889"/>
      <c r="H379" s="890"/>
      <c r="I379" s="890"/>
      <c r="J379" s="890"/>
      <c r="K379" s="891"/>
    </row>
    <row r="380" spans="1:11" x14ac:dyDescent="0.25">
      <c r="A380" s="889"/>
      <c r="B380" s="890"/>
      <c r="C380" s="890"/>
      <c r="D380" s="890"/>
      <c r="E380" s="890"/>
      <c r="F380" s="891"/>
      <c r="G380" s="889"/>
      <c r="H380" s="890"/>
      <c r="I380" s="890"/>
      <c r="J380" s="890"/>
      <c r="K380" s="891"/>
    </row>
    <row r="381" spans="1:11" x14ac:dyDescent="0.25">
      <c r="A381" s="889"/>
      <c r="B381" s="890"/>
      <c r="C381" s="890"/>
      <c r="D381" s="890"/>
      <c r="E381" s="890"/>
      <c r="F381" s="891"/>
      <c r="G381" s="889"/>
      <c r="H381" s="890"/>
      <c r="I381" s="890"/>
      <c r="J381" s="890"/>
      <c r="K381" s="891"/>
    </row>
    <row r="382" spans="1:11" x14ac:dyDescent="0.25">
      <c r="A382" s="889"/>
      <c r="B382" s="890"/>
      <c r="C382" s="890"/>
      <c r="D382" s="890"/>
      <c r="E382" s="890"/>
      <c r="F382" s="891"/>
      <c r="G382" s="889"/>
      <c r="H382" s="890"/>
      <c r="I382" s="890"/>
      <c r="J382" s="890"/>
      <c r="K382" s="891"/>
    </row>
    <row r="383" spans="1:11" x14ac:dyDescent="0.25">
      <c r="A383" s="889"/>
      <c r="B383" s="890"/>
      <c r="C383" s="890"/>
      <c r="D383" s="890"/>
      <c r="E383" s="890"/>
      <c r="F383" s="891"/>
      <c r="G383" s="889"/>
      <c r="H383" s="890"/>
      <c r="I383" s="890"/>
      <c r="J383" s="890"/>
      <c r="K383" s="891"/>
    </row>
    <row r="384" spans="1:11" x14ac:dyDescent="0.25">
      <c r="A384" s="889"/>
      <c r="B384" s="890"/>
      <c r="C384" s="890"/>
      <c r="D384" s="890"/>
      <c r="E384" s="890"/>
      <c r="F384" s="891"/>
      <c r="G384" s="889"/>
      <c r="H384" s="890"/>
      <c r="I384" s="890"/>
      <c r="J384" s="890"/>
      <c r="K384" s="891"/>
    </row>
    <row r="385" spans="1:11" x14ac:dyDescent="0.25">
      <c r="A385" s="889"/>
      <c r="B385" s="890"/>
      <c r="C385" s="890"/>
      <c r="D385" s="890"/>
      <c r="E385" s="890"/>
      <c r="F385" s="891"/>
      <c r="G385" s="889"/>
      <c r="H385" s="890"/>
      <c r="I385" s="890"/>
      <c r="J385" s="890"/>
      <c r="K385" s="891"/>
    </row>
    <row r="386" spans="1:11" x14ac:dyDescent="0.25">
      <c r="A386" s="889"/>
      <c r="B386" s="890"/>
      <c r="C386" s="890"/>
      <c r="D386" s="890"/>
      <c r="E386" s="890"/>
      <c r="F386" s="891"/>
      <c r="G386" s="889"/>
      <c r="H386" s="890"/>
      <c r="I386" s="890"/>
      <c r="J386" s="890"/>
      <c r="K386" s="891"/>
    </row>
    <row r="387" spans="1:11" x14ac:dyDescent="0.25">
      <c r="A387" s="889"/>
      <c r="B387" s="890"/>
      <c r="C387" s="890"/>
      <c r="D387" s="890"/>
      <c r="E387" s="890"/>
      <c r="F387" s="891"/>
      <c r="G387" s="889"/>
      <c r="H387" s="890"/>
      <c r="I387" s="890"/>
      <c r="J387" s="890"/>
      <c r="K387" s="891"/>
    </row>
    <row r="388" spans="1:11" ht="15.75" thickBot="1" x14ac:dyDescent="0.3">
      <c r="A388" s="889"/>
      <c r="B388" s="890"/>
      <c r="C388" s="890"/>
      <c r="D388" s="890"/>
      <c r="E388" s="890"/>
      <c r="F388" s="891"/>
      <c r="G388" s="889"/>
      <c r="H388" s="890"/>
      <c r="I388" s="890"/>
      <c r="J388" s="890"/>
      <c r="K388" s="891"/>
    </row>
    <row r="389" spans="1:11" x14ac:dyDescent="0.25">
      <c r="A389" s="1036" t="s">
        <v>1271</v>
      </c>
      <c r="B389" s="1037"/>
      <c r="C389" s="1037"/>
      <c r="D389" s="1037"/>
      <c r="E389" s="1037"/>
      <c r="F389" s="1038"/>
      <c r="G389" s="1025" t="s">
        <v>1272</v>
      </c>
      <c r="H389" s="1031"/>
      <c r="I389" s="1031"/>
      <c r="J389" s="1031"/>
      <c r="K389" s="1032"/>
    </row>
    <row r="390" spans="1:11" ht="22.5" customHeight="1" thickBot="1" x14ac:dyDescent="0.3">
      <c r="A390" s="1039"/>
      <c r="B390" s="1040"/>
      <c r="C390" s="1040"/>
      <c r="D390" s="1040"/>
      <c r="E390" s="1040"/>
      <c r="F390" s="1041"/>
      <c r="G390" s="1033"/>
      <c r="H390" s="1034"/>
      <c r="I390" s="1034"/>
      <c r="J390" s="1034"/>
      <c r="K390" s="1035"/>
    </row>
    <row r="391" spans="1:11" x14ac:dyDescent="0.25">
      <c r="A391" s="904"/>
      <c r="B391" s="905"/>
      <c r="C391" s="905"/>
      <c r="D391" s="905"/>
      <c r="E391" s="905"/>
      <c r="F391" s="906"/>
      <c r="G391" s="904"/>
      <c r="H391" s="905"/>
      <c r="I391" s="905"/>
      <c r="J391" s="905"/>
      <c r="K391" s="906"/>
    </row>
    <row r="392" spans="1:11" x14ac:dyDescent="0.25">
      <c r="A392" s="889"/>
      <c r="B392" s="890"/>
      <c r="C392" s="890"/>
      <c r="D392" s="890"/>
      <c r="E392" s="890"/>
      <c r="F392" s="891"/>
      <c r="G392" s="889"/>
      <c r="H392" s="890"/>
      <c r="I392" s="890"/>
      <c r="J392" s="890"/>
      <c r="K392" s="891"/>
    </row>
    <row r="393" spans="1:11" x14ac:dyDescent="0.25">
      <c r="A393" s="889"/>
      <c r="B393" s="890"/>
      <c r="C393" s="890"/>
      <c r="D393" s="890"/>
      <c r="E393" s="890"/>
      <c r="F393" s="891"/>
      <c r="G393" s="889"/>
      <c r="H393" s="890"/>
      <c r="I393" s="890"/>
      <c r="J393" s="890"/>
      <c r="K393" s="891"/>
    </row>
    <row r="394" spans="1:11" x14ac:dyDescent="0.25">
      <c r="A394" s="889"/>
      <c r="B394" s="890"/>
      <c r="C394" s="890"/>
      <c r="D394" s="890"/>
      <c r="E394" s="890"/>
      <c r="F394" s="891"/>
      <c r="G394" s="889"/>
      <c r="H394" s="890"/>
      <c r="I394" s="890"/>
      <c r="J394" s="890"/>
      <c r="K394" s="891"/>
    </row>
    <row r="395" spans="1:11" x14ac:dyDescent="0.25">
      <c r="A395" s="889"/>
      <c r="B395" s="890"/>
      <c r="C395" s="890"/>
      <c r="D395" s="890"/>
      <c r="E395" s="890"/>
      <c r="F395" s="891"/>
      <c r="G395" s="889"/>
      <c r="H395" s="890"/>
      <c r="I395" s="890"/>
      <c r="J395" s="890"/>
      <c r="K395" s="891"/>
    </row>
    <row r="396" spans="1:11" x14ac:dyDescent="0.25">
      <c r="A396" s="889"/>
      <c r="B396" s="890"/>
      <c r="C396" s="890"/>
      <c r="D396" s="890"/>
      <c r="E396" s="890"/>
      <c r="F396" s="891"/>
      <c r="G396" s="889"/>
      <c r="H396" s="890"/>
      <c r="I396" s="890"/>
      <c r="J396" s="890"/>
      <c r="K396" s="891"/>
    </row>
    <row r="397" spans="1:11" x14ac:dyDescent="0.25">
      <c r="A397" s="889"/>
      <c r="B397" s="890"/>
      <c r="C397" s="890"/>
      <c r="D397" s="890"/>
      <c r="E397" s="890"/>
      <c r="F397" s="891"/>
      <c r="G397" s="889"/>
      <c r="H397" s="890"/>
      <c r="I397" s="890"/>
      <c r="J397" s="890"/>
      <c r="K397" s="891"/>
    </row>
    <row r="398" spans="1:11" x14ac:dyDescent="0.25">
      <c r="A398" s="889"/>
      <c r="B398" s="890"/>
      <c r="C398" s="890"/>
      <c r="D398" s="890"/>
      <c r="E398" s="890"/>
      <c r="F398" s="891"/>
      <c r="G398" s="889"/>
      <c r="H398" s="890"/>
      <c r="I398" s="890"/>
      <c r="J398" s="890"/>
      <c r="K398" s="891"/>
    </row>
    <row r="399" spans="1:11" x14ac:dyDescent="0.25">
      <c r="A399" s="889"/>
      <c r="B399" s="890"/>
      <c r="C399" s="890"/>
      <c r="D399" s="890"/>
      <c r="E399" s="890"/>
      <c r="F399" s="891"/>
      <c r="G399" s="889"/>
      <c r="H399" s="890"/>
      <c r="I399" s="890"/>
      <c r="J399" s="890"/>
      <c r="K399" s="891"/>
    </row>
    <row r="400" spans="1:11" x14ac:dyDescent="0.25">
      <c r="A400" s="889"/>
      <c r="B400" s="890"/>
      <c r="C400" s="890"/>
      <c r="D400" s="890"/>
      <c r="E400" s="890"/>
      <c r="F400" s="891"/>
      <c r="G400" s="889"/>
      <c r="H400" s="890"/>
      <c r="I400" s="890"/>
      <c r="J400" s="890"/>
      <c r="K400" s="891"/>
    </row>
    <row r="401" spans="1:11" x14ac:dyDescent="0.25">
      <c r="A401" s="889"/>
      <c r="B401" s="890"/>
      <c r="C401" s="890"/>
      <c r="D401" s="890"/>
      <c r="E401" s="890"/>
      <c r="F401" s="891"/>
      <c r="G401" s="889"/>
      <c r="H401" s="890"/>
      <c r="I401" s="890"/>
      <c r="J401" s="890"/>
      <c r="K401" s="891"/>
    </row>
    <row r="402" spans="1:11" x14ac:dyDescent="0.25">
      <c r="A402" s="889"/>
      <c r="B402" s="890"/>
      <c r="C402" s="890"/>
      <c r="D402" s="890"/>
      <c r="E402" s="890"/>
      <c r="F402" s="891"/>
      <c r="G402" s="889"/>
      <c r="H402" s="890"/>
      <c r="I402" s="890"/>
      <c r="J402" s="890"/>
      <c r="K402" s="891"/>
    </row>
    <row r="403" spans="1:11" x14ac:dyDescent="0.25">
      <c r="A403" s="889"/>
      <c r="B403" s="890"/>
      <c r="C403" s="890"/>
      <c r="D403" s="890"/>
      <c r="E403" s="890"/>
      <c r="F403" s="891"/>
      <c r="G403" s="889"/>
      <c r="H403" s="890"/>
      <c r="I403" s="890"/>
      <c r="J403" s="890"/>
      <c r="K403" s="891"/>
    </row>
    <row r="404" spans="1:11" ht="15.75" thickBot="1" x14ac:dyDescent="0.3">
      <c r="A404" s="889"/>
      <c r="B404" s="890"/>
      <c r="C404" s="890"/>
      <c r="D404" s="890"/>
      <c r="E404" s="890"/>
      <c r="F404" s="891"/>
      <c r="G404" s="889"/>
      <c r="H404" s="890"/>
      <c r="I404" s="890"/>
      <c r="J404" s="890"/>
      <c r="K404" s="891"/>
    </row>
    <row r="405" spans="1:11" x14ac:dyDescent="0.25">
      <c r="A405" s="1036" t="s">
        <v>1273</v>
      </c>
      <c r="B405" s="1037"/>
      <c r="C405" s="1037"/>
      <c r="D405" s="1037"/>
      <c r="E405" s="1037"/>
      <c r="F405" s="1038"/>
      <c r="G405" s="1025" t="s">
        <v>1273</v>
      </c>
      <c r="H405" s="1031"/>
      <c r="I405" s="1031"/>
      <c r="J405" s="1031"/>
      <c r="K405" s="1032"/>
    </row>
    <row r="406" spans="1:11" ht="15.75" thickBot="1" x14ac:dyDescent="0.3">
      <c r="A406" s="1039"/>
      <c r="B406" s="1040"/>
      <c r="C406" s="1040"/>
      <c r="D406" s="1040"/>
      <c r="E406" s="1040"/>
      <c r="F406" s="1041"/>
      <c r="G406" s="1033"/>
      <c r="H406" s="1034"/>
      <c r="I406" s="1034"/>
      <c r="J406" s="1034"/>
      <c r="K406" s="1035"/>
    </row>
    <row r="407" spans="1:11" ht="15.75" hidden="1" thickBot="1" x14ac:dyDescent="0.3">
      <c r="A407" s="904" t="s">
        <v>503</v>
      </c>
      <c r="B407" s="905"/>
      <c r="C407" s="905"/>
      <c r="D407" s="905"/>
      <c r="E407" s="905"/>
      <c r="F407" s="906"/>
      <c r="G407" s="904" t="s">
        <v>504</v>
      </c>
      <c r="H407" s="905"/>
      <c r="I407" s="905"/>
      <c r="J407" s="905"/>
      <c r="K407" s="906"/>
    </row>
    <row r="408" spans="1:11" ht="15.75" hidden="1" thickBot="1" x14ac:dyDescent="0.3">
      <c r="A408" s="889"/>
      <c r="B408" s="890"/>
      <c r="C408" s="890"/>
      <c r="D408" s="890"/>
      <c r="E408" s="890"/>
      <c r="F408" s="891"/>
      <c r="G408" s="889"/>
      <c r="H408" s="890"/>
      <c r="I408" s="890"/>
      <c r="J408" s="890"/>
      <c r="K408" s="891"/>
    </row>
    <row r="409" spans="1:11" ht="15.75" hidden="1" thickBot="1" x14ac:dyDescent="0.3">
      <c r="A409" s="889"/>
      <c r="B409" s="890"/>
      <c r="C409" s="890"/>
      <c r="D409" s="890"/>
      <c r="E409" s="890"/>
      <c r="F409" s="891"/>
      <c r="G409" s="889"/>
      <c r="H409" s="890"/>
      <c r="I409" s="890"/>
      <c r="J409" s="890"/>
      <c r="K409" s="891"/>
    </row>
    <row r="410" spans="1:11" ht="15.75" hidden="1" thickBot="1" x14ac:dyDescent="0.3">
      <c r="A410" s="889"/>
      <c r="B410" s="890"/>
      <c r="C410" s="890"/>
      <c r="D410" s="890"/>
      <c r="E410" s="890"/>
      <c r="F410" s="891"/>
      <c r="G410" s="889"/>
      <c r="H410" s="890"/>
      <c r="I410" s="890"/>
      <c r="J410" s="890"/>
      <c r="K410" s="891"/>
    </row>
    <row r="411" spans="1:11" ht="15.75" hidden="1" thickBot="1" x14ac:dyDescent="0.3">
      <c r="A411" s="889"/>
      <c r="B411" s="890"/>
      <c r="C411" s="890"/>
      <c r="D411" s="890"/>
      <c r="E411" s="890"/>
      <c r="F411" s="891"/>
      <c r="G411" s="889"/>
      <c r="H411" s="890"/>
      <c r="I411" s="890"/>
      <c r="J411" s="890"/>
      <c r="K411" s="891"/>
    </row>
    <row r="412" spans="1:11" ht="15.75" hidden="1" thickBot="1" x14ac:dyDescent="0.3">
      <c r="A412" s="889"/>
      <c r="B412" s="890"/>
      <c r="C412" s="890"/>
      <c r="D412" s="890"/>
      <c r="E412" s="890"/>
      <c r="F412" s="891"/>
      <c r="G412" s="889"/>
      <c r="H412" s="890"/>
      <c r="I412" s="890"/>
      <c r="J412" s="890"/>
      <c r="K412" s="891"/>
    </row>
    <row r="413" spans="1:11" ht="15.75" hidden="1" thickBot="1" x14ac:dyDescent="0.3">
      <c r="A413" s="889"/>
      <c r="B413" s="890"/>
      <c r="C413" s="890"/>
      <c r="D413" s="890"/>
      <c r="E413" s="890"/>
      <c r="F413" s="891"/>
      <c r="G413" s="889"/>
      <c r="H413" s="890"/>
      <c r="I413" s="890"/>
      <c r="J413" s="890"/>
      <c r="K413" s="891"/>
    </row>
    <row r="414" spans="1:11" ht="15.75" hidden="1" thickBot="1" x14ac:dyDescent="0.3">
      <c r="A414" s="889"/>
      <c r="B414" s="890"/>
      <c r="C414" s="890"/>
      <c r="D414" s="890"/>
      <c r="E414" s="890"/>
      <c r="F414" s="891"/>
      <c r="G414" s="889"/>
      <c r="H414" s="890"/>
      <c r="I414" s="890"/>
      <c r="J414" s="890"/>
      <c r="K414" s="891"/>
    </row>
    <row r="415" spans="1:11" ht="15.75" hidden="1" thickBot="1" x14ac:dyDescent="0.3">
      <c r="A415" s="889"/>
      <c r="B415" s="890"/>
      <c r="C415" s="890"/>
      <c r="D415" s="890"/>
      <c r="E415" s="890"/>
      <c r="F415" s="891"/>
      <c r="G415" s="889"/>
      <c r="H415" s="890"/>
      <c r="I415" s="890"/>
      <c r="J415" s="890"/>
      <c r="K415" s="891"/>
    </row>
    <row r="416" spans="1:11" ht="15.75" hidden="1" thickBot="1" x14ac:dyDescent="0.3">
      <c r="A416" s="889"/>
      <c r="B416" s="890"/>
      <c r="C416" s="890"/>
      <c r="D416" s="890"/>
      <c r="E416" s="890"/>
      <c r="F416" s="891"/>
      <c r="G416" s="889"/>
      <c r="H416" s="890"/>
      <c r="I416" s="890"/>
      <c r="J416" s="890"/>
      <c r="K416" s="891"/>
    </row>
    <row r="417" spans="1:11" ht="15.75" hidden="1" thickBot="1" x14ac:dyDescent="0.3">
      <c r="A417" s="889"/>
      <c r="B417" s="890"/>
      <c r="C417" s="890"/>
      <c r="D417" s="890"/>
      <c r="E417" s="890"/>
      <c r="F417" s="891"/>
      <c r="G417" s="889"/>
      <c r="H417" s="890"/>
      <c r="I417" s="890"/>
      <c r="J417" s="890"/>
      <c r="K417" s="891"/>
    </row>
    <row r="418" spans="1:11" ht="15.75" hidden="1" thickBot="1" x14ac:dyDescent="0.3">
      <c r="A418" s="889"/>
      <c r="B418" s="890"/>
      <c r="C418" s="890"/>
      <c r="D418" s="890"/>
      <c r="E418" s="890"/>
      <c r="F418" s="891"/>
      <c r="G418" s="889"/>
      <c r="H418" s="890"/>
      <c r="I418" s="890"/>
      <c r="J418" s="890"/>
      <c r="K418" s="891"/>
    </row>
    <row r="419" spans="1:11" ht="15.75" hidden="1" thickBot="1" x14ac:dyDescent="0.3">
      <c r="A419" s="889"/>
      <c r="B419" s="890"/>
      <c r="C419" s="890"/>
      <c r="D419" s="890"/>
      <c r="E419" s="890"/>
      <c r="F419" s="891"/>
      <c r="G419" s="889"/>
      <c r="H419" s="890"/>
      <c r="I419" s="890"/>
      <c r="J419" s="890"/>
      <c r="K419" s="891"/>
    </row>
    <row r="420" spans="1:11" ht="15.75" hidden="1" thickBot="1" x14ac:dyDescent="0.3">
      <c r="A420" s="889"/>
      <c r="B420" s="890"/>
      <c r="C420" s="890"/>
      <c r="D420" s="890"/>
      <c r="E420" s="890"/>
      <c r="F420" s="891"/>
      <c r="G420" s="889"/>
      <c r="H420" s="890"/>
      <c r="I420" s="890"/>
      <c r="J420" s="890"/>
      <c r="K420" s="891"/>
    </row>
    <row r="421" spans="1:11" ht="15.75" hidden="1" thickBot="1" x14ac:dyDescent="0.3">
      <c r="A421" s="1025"/>
      <c r="B421" s="1031"/>
      <c r="C421" s="1031"/>
      <c r="D421" s="1031"/>
      <c r="E421" s="1031"/>
      <c r="F421" s="1032"/>
      <c r="G421" s="1025"/>
      <c r="H421" s="1031"/>
      <c r="I421" s="1031"/>
      <c r="J421" s="1031"/>
      <c r="K421" s="1032"/>
    </row>
    <row r="422" spans="1:11" ht="26.25" hidden="1" customHeight="1" thickBot="1" x14ac:dyDescent="0.3">
      <c r="A422" s="1033"/>
      <c r="B422" s="1034"/>
      <c r="C422" s="1034"/>
      <c r="D422" s="1034"/>
      <c r="E422" s="1034"/>
      <c r="F422" s="1035"/>
      <c r="G422" s="1033"/>
      <c r="H422" s="1034"/>
      <c r="I422" s="1034"/>
      <c r="J422" s="1034"/>
      <c r="K422" s="1035"/>
    </row>
    <row r="423" spans="1:11" x14ac:dyDescent="0.25">
      <c r="A423" s="904" t="s">
        <v>503</v>
      </c>
      <c r="B423" s="905"/>
      <c r="C423" s="905"/>
      <c r="D423" s="905"/>
      <c r="E423" s="905"/>
      <c r="F423" s="906"/>
      <c r="G423" s="904" t="s">
        <v>504</v>
      </c>
      <c r="H423" s="905"/>
      <c r="I423" s="905"/>
      <c r="J423" s="905"/>
      <c r="K423" s="906"/>
    </row>
    <row r="424" spans="1:11" x14ac:dyDescent="0.25">
      <c r="A424" s="889"/>
      <c r="B424" s="890"/>
      <c r="C424" s="890"/>
      <c r="D424" s="890"/>
      <c r="E424" s="890"/>
      <c r="F424" s="891"/>
      <c r="G424" s="889"/>
      <c r="H424" s="890"/>
      <c r="I424" s="890"/>
      <c r="J424" s="890"/>
      <c r="K424" s="891"/>
    </row>
    <row r="425" spans="1:11" x14ac:dyDescent="0.25">
      <c r="A425" s="889"/>
      <c r="B425" s="890"/>
      <c r="C425" s="890"/>
      <c r="D425" s="890"/>
      <c r="E425" s="890"/>
      <c r="F425" s="891"/>
      <c r="G425" s="889"/>
      <c r="H425" s="890"/>
      <c r="I425" s="890"/>
      <c r="J425" s="890"/>
      <c r="K425" s="891"/>
    </row>
    <row r="426" spans="1:11" x14ac:dyDescent="0.25">
      <c r="A426" s="889"/>
      <c r="B426" s="890"/>
      <c r="C426" s="890"/>
      <c r="D426" s="890"/>
      <c r="E426" s="890"/>
      <c r="F426" s="891"/>
      <c r="G426" s="889"/>
      <c r="H426" s="890"/>
      <c r="I426" s="890"/>
      <c r="J426" s="890"/>
      <c r="K426" s="891"/>
    </row>
    <row r="427" spans="1:11" x14ac:dyDescent="0.25">
      <c r="A427" s="889"/>
      <c r="B427" s="890"/>
      <c r="C427" s="890"/>
      <c r="D427" s="890"/>
      <c r="E427" s="890"/>
      <c r="F427" s="891"/>
      <c r="G427" s="889"/>
      <c r="H427" s="890"/>
      <c r="I427" s="890"/>
      <c r="J427" s="890"/>
      <c r="K427" s="891"/>
    </row>
    <row r="428" spans="1:11" x14ac:dyDescent="0.25">
      <c r="A428" s="889"/>
      <c r="B428" s="890"/>
      <c r="C428" s="890"/>
      <c r="D428" s="890"/>
      <c r="E428" s="890"/>
      <c r="F428" s="891"/>
      <c r="G428" s="889"/>
      <c r="H428" s="890"/>
      <c r="I428" s="890"/>
      <c r="J428" s="890"/>
      <c r="K428" s="891"/>
    </row>
    <row r="429" spans="1:11" x14ac:dyDescent="0.25">
      <c r="A429" s="889"/>
      <c r="B429" s="890"/>
      <c r="C429" s="890"/>
      <c r="D429" s="890"/>
      <c r="E429" s="890"/>
      <c r="F429" s="891"/>
      <c r="G429" s="889"/>
      <c r="H429" s="890"/>
      <c r="I429" s="890"/>
      <c r="J429" s="890"/>
      <c r="K429" s="891"/>
    </row>
    <row r="430" spans="1:11" x14ac:dyDescent="0.25">
      <c r="A430" s="889"/>
      <c r="B430" s="890"/>
      <c r="C430" s="890"/>
      <c r="D430" s="890"/>
      <c r="E430" s="890"/>
      <c r="F430" s="891"/>
      <c r="G430" s="889"/>
      <c r="H430" s="890"/>
      <c r="I430" s="890"/>
      <c r="J430" s="890"/>
      <c r="K430" s="891"/>
    </row>
    <row r="431" spans="1:11" x14ac:dyDescent="0.25">
      <c r="A431" s="889"/>
      <c r="B431" s="890"/>
      <c r="C431" s="890"/>
      <c r="D431" s="890"/>
      <c r="E431" s="890"/>
      <c r="F431" s="891"/>
      <c r="G431" s="889"/>
      <c r="H431" s="890"/>
      <c r="I431" s="890"/>
      <c r="J431" s="890"/>
      <c r="K431" s="891"/>
    </row>
    <row r="432" spans="1:11" x14ac:dyDescent="0.25">
      <c r="A432" s="889"/>
      <c r="B432" s="890"/>
      <c r="C432" s="890"/>
      <c r="D432" s="890"/>
      <c r="E432" s="890"/>
      <c r="F432" s="891"/>
      <c r="G432" s="889"/>
      <c r="H432" s="890"/>
      <c r="I432" s="890"/>
      <c r="J432" s="890"/>
      <c r="K432" s="891"/>
    </row>
    <row r="433" spans="1:11" x14ac:dyDescent="0.25">
      <c r="A433" s="889"/>
      <c r="B433" s="890"/>
      <c r="C433" s="890"/>
      <c r="D433" s="890"/>
      <c r="E433" s="890"/>
      <c r="F433" s="891"/>
      <c r="G433" s="889"/>
      <c r="H433" s="890"/>
      <c r="I433" s="890"/>
      <c r="J433" s="890"/>
      <c r="K433" s="891"/>
    </row>
    <row r="434" spans="1:11" x14ac:dyDescent="0.25">
      <c r="A434" s="889"/>
      <c r="B434" s="890"/>
      <c r="C434" s="890"/>
      <c r="D434" s="890"/>
      <c r="E434" s="890"/>
      <c r="F434" s="891"/>
      <c r="G434" s="889"/>
      <c r="H434" s="890"/>
      <c r="I434" s="890"/>
      <c r="J434" s="890"/>
      <c r="K434" s="891"/>
    </row>
    <row r="435" spans="1:11" x14ac:dyDescent="0.25">
      <c r="A435" s="889"/>
      <c r="B435" s="890"/>
      <c r="C435" s="890"/>
      <c r="D435" s="890"/>
      <c r="E435" s="890"/>
      <c r="F435" s="891"/>
      <c r="G435" s="889"/>
      <c r="H435" s="890"/>
      <c r="I435" s="890"/>
      <c r="J435" s="890"/>
      <c r="K435" s="891"/>
    </row>
    <row r="436" spans="1:11" ht="15.75" thickBot="1" x14ac:dyDescent="0.3">
      <c r="A436" s="889"/>
      <c r="B436" s="890"/>
      <c r="C436" s="890"/>
      <c r="D436" s="890"/>
      <c r="E436" s="890"/>
      <c r="F436" s="891"/>
      <c r="G436" s="889"/>
      <c r="H436" s="890"/>
      <c r="I436" s="890"/>
      <c r="J436" s="890"/>
      <c r="K436" s="891"/>
    </row>
    <row r="437" spans="1:11" x14ac:dyDescent="0.25">
      <c r="A437" s="1025" t="s">
        <v>1274</v>
      </c>
      <c r="B437" s="1031"/>
      <c r="C437" s="1031"/>
      <c r="D437" s="1031"/>
      <c r="E437" s="1031"/>
      <c r="F437" s="1032"/>
      <c r="G437" s="1025" t="s">
        <v>1275</v>
      </c>
      <c r="H437" s="1031"/>
      <c r="I437" s="1031"/>
      <c r="J437" s="1031"/>
      <c r="K437" s="1032"/>
    </row>
    <row r="438" spans="1:11" ht="25.5" customHeight="1" thickBot="1" x14ac:dyDescent="0.3">
      <c r="A438" s="1033"/>
      <c r="B438" s="1034"/>
      <c r="C438" s="1034"/>
      <c r="D438" s="1034"/>
      <c r="E438" s="1034"/>
      <c r="F438" s="1035"/>
      <c r="G438" s="1033"/>
      <c r="H438" s="1034"/>
      <c r="I438" s="1034"/>
      <c r="J438" s="1034"/>
      <c r="K438" s="1035"/>
    </row>
    <row r="439" spans="1:11" x14ac:dyDescent="0.25">
      <c r="A439" s="904" t="s">
        <v>503</v>
      </c>
      <c r="B439" s="905"/>
      <c r="C439" s="905"/>
      <c r="D439" s="905"/>
      <c r="E439" s="905"/>
      <c r="F439" s="906"/>
      <c r="G439" s="904" t="s">
        <v>504</v>
      </c>
      <c r="H439" s="905"/>
      <c r="I439" s="905"/>
      <c r="J439" s="905"/>
      <c r="K439" s="906"/>
    </row>
    <row r="440" spans="1:11" x14ac:dyDescent="0.25">
      <c r="A440" s="889"/>
      <c r="B440" s="890"/>
      <c r="C440" s="890"/>
      <c r="D440" s="890"/>
      <c r="E440" s="890"/>
      <c r="F440" s="891"/>
      <c r="G440" s="889"/>
      <c r="H440" s="890"/>
      <c r="I440" s="890"/>
      <c r="J440" s="890"/>
      <c r="K440" s="891"/>
    </row>
    <row r="441" spans="1:11" x14ac:dyDescent="0.25">
      <c r="A441" s="889"/>
      <c r="B441" s="890"/>
      <c r="C441" s="890"/>
      <c r="D441" s="890"/>
      <c r="E441" s="890"/>
      <c r="F441" s="891"/>
      <c r="G441" s="889"/>
      <c r="H441" s="890"/>
      <c r="I441" s="890"/>
      <c r="J441" s="890"/>
      <c r="K441" s="891"/>
    </row>
    <row r="442" spans="1:11" x14ac:dyDescent="0.25">
      <c r="A442" s="889"/>
      <c r="B442" s="890"/>
      <c r="C442" s="890"/>
      <c r="D442" s="890"/>
      <c r="E442" s="890"/>
      <c r="F442" s="891"/>
      <c r="G442" s="889"/>
      <c r="H442" s="890"/>
      <c r="I442" s="890"/>
      <c r="J442" s="890"/>
      <c r="K442" s="891"/>
    </row>
    <row r="443" spans="1:11" x14ac:dyDescent="0.25">
      <c r="A443" s="889"/>
      <c r="B443" s="890"/>
      <c r="C443" s="890"/>
      <c r="D443" s="890"/>
      <c r="E443" s="890"/>
      <c r="F443" s="891"/>
      <c r="G443" s="889"/>
      <c r="H443" s="890"/>
      <c r="I443" s="890"/>
      <c r="J443" s="890"/>
      <c r="K443" s="891"/>
    </row>
    <row r="444" spans="1:11" x14ac:dyDescent="0.25">
      <c r="A444" s="889"/>
      <c r="B444" s="890"/>
      <c r="C444" s="890"/>
      <c r="D444" s="890"/>
      <c r="E444" s="890"/>
      <c r="F444" s="891"/>
      <c r="G444" s="889"/>
      <c r="H444" s="890"/>
      <c r="I444" s="890"/>
      <c r="J444" s="890"/>
      <c r="K444" s="891"/>
    </row>
    <row r="445" spans="1:11" x14ac:dyDescent="0.25">
      <c r="A445" s="889"/>
      <c r="B445" s="890"/>
      <c r="C445" s="890"/>
      <c r="D445" s="890"/>
      <c r="E445" s="890"/>
      <c r="F445" s="891"/>
      <c r="G445" s="889"/>
      <c r="H445" s="890"/>
      <c r="I445" s="890"/>
      <c r="J445" s="890"/>
      <c r="K445" s="891"/>
    </row>
    <row r="446" spans="1:11" x14ac:dyDescent="0.25">
      <c r="A446" s="889"/>
      <c r="B446" s="890"/>
      <c r="C446" s="890"/>
      <c r="D446" s="890"/>
      <c r="E446" s="890"/>
      <c r="F446" s="891"/>
      <c r="G446" s="889"/>
      <c r="H446" s="890"/>
      <c r="I446" s="890"/>
      <c r="J446" s="890"/>
      <c r="K446" s="891"/>
    </row>
    <row r="447" spans="1:11" x14ac:dyDescent="0.25">
      <c r="A447" s="889"/>
      <c r="B447" s="890"/>
      <c r="C447" s="890"/>
      <c r="D447" s="890"/>
      <c r="E447" s="890"/>
      <c r="F447" s="891"/>
      <c r="G447" s="889"/>
      <c r="H447" s="890"/>
      <c r="I447" s="890"/>
      <c r="J447" s="890"/>
      <c r="K447" s="891"/>
    </row>
    <row r="448" spans="1:11" x14ac:dyDescent="0.25">
      <c r="A448" s="889"/>
      <c r="B448" s="890"/>
      <c r="C448" s="890"/>
      <c r="D448" s="890"/>
      <c r="E448" s="890"/>
      <c r="F448" s="891"/>
      <c r="G448" s="889"/>
      <c r="H448" s="890"/>
      <c r="I448" s="890"/>
      <c r="J448" s="890"/>
      <c r="K448" s="891"/>
    </row>
    <row r="449" spans="1:11" x14ac:dyDescent="0.25">
      <c r="A449" s="889"/>
      <c r="B449" s="890"/>
      <c r="C449" s="890"/>
      <c r="D449" s="890"/>
      <c r="E449" s="890"/>
      <c r="F449" s="891"/>
      <c r="G449" s="889"/>
      <c r="H449" s="890"/>
      <c r="I449" s="890"/>
      <c r="J449" s="890"/>
      <c r="K449" s="891"/>
    </row>
    <row r="450" spans="1:11" x14ac:dyDescent="0.25">
      <c r="A450" s="889"/>
      <c r="B450" s="890"/>
      <c r="C450" s="890"/>
      <c r="D450" s="890"/>
      <c r="E450" s="890"/>
      <c r="F450" s="891"/>
      <c r="G450" s="889"/>
      <c r="H450" s="890"/>
      <c r="I450" s="890"/>
      <c r="J450" s="890"/>
      <c r="K450" s="891"/>
    </row>
    <row r="451" spans="1:11" x14ac:dyDescent="0.25">
      <c r="A451" s="889"/>
      <c r="B451" s="890"/>
      <c r="C451" s="890"/>
      <c r="D451" s="890"/>
      <c r="E451" s="890"/>
      <c r="F451" s="891"/>
      <c r="G451" s="889"/>
      <c r="H451" s="890"/>
      <c r="I451" s="890"/>
      <c r="J451" s="890"/>
      <c r="K451" s="891"/>
    </row>
    <row r="452" spans="1:11" ht="15.75" thickBot="1" x14ac:dyDescent="0.3">
      <c r="A452" s="889"/>
      <c r="B452" s="890"/>
      <c r="C452" s="890"/>
      <c r="D452" s="890"/>
      <c r="E452" s="890"/>
      <c r="F452" s="891"/>
      <c r="G452" s="889"/>
      <c r="H452" s="890"/>
      <c r="I452" s="890"/>
      <c r="J452" s="890"/>
      <c r="K452" s="891"/>
    </row>
    <row r="453" spans="1:11" x14ac:dyDescent="0.25">
      <c r="A453" s="1025" t="s">
        <v>1021</v>
      </c>
      <c r="B453" s="1031"/>
      <c r="C453" s="1031"/>
      <c r="D453" s="1031"/>
      <c r="E453" s="1031"/>
      <c r="F453" s="1032"/>
      <c r="G453" s="1025" t="s">
        <v>1023</v>
      </c>
      <c r="H453" s="1031"/>
      <c r="I453" s="1031"/>
      <c r="J453" s="1031"/>
      <c r="K453" s="1032"/>
    </row>
    <row r="454" spans="1:11" ht="15.75" thickBot="1" x14ac:dyDescent="0.3">
      <c r="A454" s="1033"/>
      <c r="B454" s="1034"/>
      <c r="C454" s="1034"/>
      <c r="D454" s="1034"/>
      <c r="E454" s="1034"/>
      <c r="F454" s="1035"/>
      <c r="G454" s="1033"/>
      <c r="H454" s="1034"/>
      <c r="I454" s="1034"/>
      <c r="J454" s="1034"/>
      <c r="K454" s="1035"/>
    </row>
    <row r="455" spans="1:11" ht="15.75" hidden="1" thickBot="1" x14ac:dyDescent="0.3">
      <c r="A455" s="904" t="s">
        <v>503</v>
      </c>
      <c r="B455" s="905"/>
      <c r="C455" s="905"/>
      <c r="D455" s="905"/>
      <c r="E455" s="905"/>
      <c r="F455" s="906"/>
      <c r="G455" s="904" t="s">
        <v>504</v>
      </c>
      <c r="H455" s="905"/>
      <c r="I455" s="905"/>
      <c r="J455" s="905"/>
      <c r="K455" s="906"/>
    </row>
    <row r="456" spans="1:11" ht="15.75" hidden="1" thickBot="1" x14ac:dyDescent="0.3">
      <c r="A456" s="889"/>
      <c r="B456" s="890"/>
      <c r="C456" s="890"/>
      <c r="D456" s="890"/>
      <c r="E456" s="890"/>
      <c r="F456" s="891"/>
      <c r="G456" s="889"/>
      <c r="H456" s="890"/>
      <c r="I456" s="890"/>
      <c r="J456" s="890"/>
      <c r="K456" s="891"/>
    </row>
    <row r="457" spans="1:11" ht="15.75" hidden="1" thickBot="1" x14ac:dyDescent="0.3">
      <c r="A457" s="889"/>
      <c r="B457" s="890"/>
      <c r="C457" s="890"/>
      <c r="D457" s="890"/>
      <c r="E457" s="890"/>
      <c r="F457" s="891"/>
      <c r="G457" s="889"/>
      <c r="H457" s="890"/>
      <c r="I457" s="890"/>
      <c r="J457" s="890"/>
      <c r="K457" s="891"/>
    </row>
    <row r="458" spans="1:11" ht="15.75" hidden="1" thickBot="1" x14ac:dyDescent="0.3">
      <c r="A458" s="889"/>
      <c r="B458" s="890"/>
      <c r="C458" s="890"/>
      <c r="D458" s="890"/>
      <c r="E458" s="890"/>
      <c r="F458" s="891"/>
      <c r="G458" s="889"/>
      <c r="H458" s="890"/>
      <c r="I458" s="890"/>
      <c r="J458" s="890"/>
      <c r="K458" s="891"/>
    </row>
    <row r="459" spans="1:11" ht="15.75" hidden="1" thickBot="1" x14ac:dyDescent="0.3">
      <c r="A459" s="889"/>
      <c r="B459" s="890"/>
      <c r="C459" s="890"/>
      <c r="D459" s="890"/>
      <c r="E459" s="890"/>
      <c r="F459" s="891"/>
      <c r="G459" s="889"/>
      <c r="H459" s="890"/>
      <c r="I459" s="890"/>
      <c r="J459" s="890"/>
      <c r="K459" s="891"/>
    </row>
    <row r="460" spans="1:11" ht="15.75" hidden="1" thickBot="1" x14ac:dyDescent="0.3">
      <c r="A460" s="889"/>
      <c r="B460" s="890"/>
      <c r="C460" s="890"/>
      <c r="D460" s="890"/>
      <c r="E460" s="890"/>
      <c r="F460" s="891"/>
      <c r="G460" s="889"/>
      <c r="H460" s="890"/>
      <c r="I460" s="890"/>
      <c r="J460" s="890"/>
      <c r="K460" s="891"/>
    </row>
    <row r="461" spans="1:11" ht="15.75" hidden="1" thickBot="1" x14ac:dyDescent="0.3">
      <c r="A461" s="889"/>
      <c r="B461" s="890"/>
      <c r="C461" s="890"/>
      <c r="D461" s="890"/>
      <c r="E461" s="890"/>
      <c r="F461" s="891"/>
      <c r="G461" s="889"/>
      <c r="H461" s="890"/>
      <c r="I461" s="890"/>
      <c r="J461" s="890"/>
      <c r="K461" s="891"/>
    </row>
    <row r="462" spans="1:11" ht="15.75" hidden="1" thickBot="1" x14ac:dyDescent="0.3">
      <c r="A462" s="889"/>
      <c r="B462" s="890"/>
      <c r="C462" s="890"/>
      <c r="D462" s="890"/>
      <c r="E462" s="890"/>
      <c r="F462" s="891"/>
      <c r="G462" s="889"/>
      <c r="H462" s="890"/>
      <c r="I462" s="890"/>
      <c r="J462" s="890"/>
      <c r="K462" s="891"/>
    </row>
    <row r="463" spans="1:11" ht="15.75" hidden="1" thickBot="1" x14ac:dyDescent="0.3">
      <c r="A463" s="889"/>
      <c r="B463" s="890"/>
      <c r="C463" s="890"/>
      <c r="D463" s="890"/>
      <c r="E463" s="890"/>
      <c r="F463" s="891"/>
      <c r="G463" s="889"/>
      <c r="H463" s="890"/>
      <c r="I463" s="890"/>
      <c r="J463" s="890"/>
      <c r="K463" s="891"/>
    </row>
    <row r="464" spans="1:11" ht="15.75" hidden="1" thickBot="1" x14ac:dyDescent="0.3">
      <c r="A464" s="889"/>
      <c r="B464" s="890"/>
      <c r="C464" s="890"/>
      <c r="D464" s="890"/>
      <c r="E464" s="890"/>
      <c r="F464" s="891"/>
      <c r="G464" s="889"/>
      <c r="H464" s="890"/>
      <c r="I464" s="890"/>
      <c r="J464" s="890"/>
      <c r="K464" s="891"/>
    </row>
    <row r="465" spans="1:11" ht="15.75" hidden="1" thickBot="1" x14ac:dyDescent="0.3">
      <c r="A465" s="889"/>
      <c r="B465" s="890"/>
      <c r="C465" s="890"/>
      <c r="D465" s="890"/>
      <c r="E465" s="890"/>
      <c r="F465" s="891"/>
      <c r="G465" s="889"/>
      <c r="H465" s="890"/>
      <c r="I465" s="890"/>
      <c r="J465" s="890"/>
      <c r="K465" s="891"/>
    </row>
    <row r="466" spans="1:11" ht="15.75" hidden="1" thickBot="1" x14ac:dyDescent="0.3">
      <c r="A466" s="889"/>
      <c r="B466" s="890"/>
      <c r="C466" s="890"/>
      <c r="D466" s="890"/>
      <c r="E466" s="890"/>
      <c r="F466" s="891"/>
      <c r="G466" s="889"/>
      <c r="H466" s="890"/>
      <c r="I466" s="890"/>
      <c r="J466" s="890"/>
      <c r="K466" s="891"/>
    </row>
    <row r="467" spans="1:11" ht="15.75" hidden="1" thickBot="1" x14ac:dyDescent="0.3">
      <c r="A467" s="889"/>
      <c r="B467" s="890"/>
      <c r="C467" s="890"/>
      <c r="D467" s="890"/>
      <c r="E467" s="890"/>
      <c r="F467" s="891"/>
      <c r="G467" s="889"/>
      <c r="H467" s="890"/>
      <c r="I467" s="890"/>
      <c r="J467" s="890"/>
      <c r="K467" s="891"/>
    </row>
    <row r="468" spans="1:11" ht="15.75" hidden="1" thickBot="1" x14ac:dyDescent="0.3">
      <c r="A468" s="889"/>
      <c r="B468" s="890"/>
      <c r="C468" s="890"/>
      <c r="D468" s="890"/>
      <c r="E468" s="890"/>
      <c r="F468" s="891"/>
      <c r="G468" s="889"/>
      <c r="H468" s="890"/>
      <c r="I468" s="890"/>
      <c r="J468" s="890"/>
      <c r="K468" s="891"/>
    </row>
    <row r="469" spans="1:11" ht="15.75" hidden="1" thickBot="1" x14ac:dyDescent="0.3">
      <c r="A469" s="1025" t="s">
        <v>601</v>
      </c>
      <c r="B469" s="1031"/>
      <c r="C469" s="1031"/>
      <c r="D469" s="1031"/>
      <c r="E469" s="1031"/>
      <c r="F469" s="1032"/>
      <c r="G469" s="1025" t="s">
        <v>727</v>
      </c>
      <c r="H469" s="1031"/>
      <c r="I469" s="1031"/>
      <c r="J469" s="1031"/>
      <c r="K469" s="1032"/>
    </row>
    <row r="470" spans="1:11" ht="15.75" hidden="1" thickBot="1" x14ac:dyDescent="0.3">
      <c r="A470" s="1033"/>
      <c r="B470" s="1034"/>
      <c r="C470" s="1034"/>
      <c r="D470" s="1034"/>
      <c r="E470" s="1034"/>
      <c r="F470" s="1035"/>
      <c r="G470" s="1033"/>
      <c r="H470" s="1034"/>
      <c r="I470" s="1034"/>
      <c r="J470" s="1034"/>
      <c r="K470" s="1035"/>
    </row>
    <row r="471" spans="1:11" x14ac:dyDescent="0.25">
      <c r="A471" s="904" t="s">
        <v>503</v>
      </c>
      <c r="B471" s="905"/>
      <c r="C471" s="905"/>
      <c r="D471" s="905"/>
      <c r="E471" s="905"/>
      <c r="F471" s="906"/>
      <c r="G471" s="904" t="s">
        <v>504</v>
      </c>
      <c r="H471" s="905"/>
      <c r="I471" s="905"/>
      <c r="J471" s="905"/>
      <c r="K471" s="906"/>
    </row>
    <row r="472" spans="1:11" x14ac:dyDescent="0.25">
      <c r="A472" s="889"/>
      <c r="B472" s="890"/>
      <c r="C472" s="890"/>
      <c r="D472" s="890"/>
      <c r="E472" s="890"/>
      <c r="F472" s="891"/>
      <c r="G472" s="889"/>
      <c r="H472" s="890"/>
      <c r="I472" s="890"/>
      <c r="J472" s="890"/>
      <c r="K472" s="891"/>
    </row>
    <row r="473" spans="1:11" ht="165" customHeight="1" x14ac:dyDescent="0.25">
      <c r="A473" s="889"/>
      <c r="B473" s="890"/>
      <c r="C473" s="890"/>
      <c r="D473" s="890"/>
      <c r="E473" s="890"/>
      <c r="F473" s="891"/>
      <c r="G473" s="889"/>
      <c r="H473" s="890"/>
      <c r="I473" s="890"/>
      <c r="J473" s="890"/>
      <c r="K473" s="891"/>
    </row>
    <row r="474" spans="1:11" ht="15.75" thickBot="1" x14ac:dyDescent="0.3">
      <c r="A474" s="889"/>
      <c r="B474" s="890"/>
      <c r="C474" s="890"/>
      <c r="D474" s="890"/>
      <c r="E474" s="890"/>
      <c r="F474" s="891"/>
      <c r="G474" s="889"/>
      <c r="H474" s="890"/>
      <c r="I474" s="890"/>
      <c r="J474" s="890"/>
      <c r="K474" s="891"/>
    </row>
    <row r="475" spans="1:11" x14ac:dyDescent="0.25">
      <c r="A475" s="1025" t="s">
        <v>1150</v>
      </c>
      <c r="B475" s="1031"/>
      <c r="C475" s="1031"/>
      <c r="D475" s="1031"/>
      <c r="E475" s="1031"/>
      <c r="F475" s="1032"/>
      <c r="G475" s="1025" t="s">
        <v>1151</v>
      </c>
      <c r="H475" s="1031"/>
      <c r="I475" s="1031"/>
      <c r="J475" s="1031"/>
      <c r="K475" s="1032"/>
    </row>
    <row r="476" spans="1:11" ht="27" customHeight="1" thickBot="1" x14ac:dyDescent="0.3">
      <c r="A476" s="1033"/>
      <c r="B476" s="1034"/>
      <c r="C476" s="1034"/>
      <c r="D476" s="1034"/>
      <c r="E476" s="1034"/>
      <c r="F476" s="1035"/>
      <c r="G476" s="1033"/>
      <c r="H476" s="1034"/>
      <c r="I476" s="1034"/>
      <c r="J476" s="1034"/>
      <c r="K476" s="1035"/>
    </row>
    <row r="477" spans="1:11" x14ac:dyDescent="0.25">
      <c r="A477" s="904" t="s">
        <v>503</v>
      </c>
      <c r="B477" s="905"/>
      <c r="C477" s="905"/>
      <c r="D477" s="905"/>
      <c r="E477" s="905"/>
      <c r="F477" s="906"/>
      <c r="G477" s="904"/>
      <c r="H477" s="905"/>
      <c r="I477" s="905"/>
      <c r="J477" s="905"/>
      <c r="K477" s="906"/>
    </row>
    <row r="478" spans="1:11" x14ac:dyDescent="0.25">
      <c r="A478" s="889"/>
      <c r="B478" s="890"/>
      <c r="C478" s="890"/>
      <c r="D478" s="890"/>
      <c r="E478" s="890"/>
      <c r="F478" s="891"/>
      <c r="G478" s="889"/>
      <c r="H478" s="890"/>
      <c r="I478" s="890"/>
      <c r="J478" s="890"/>
      <c r="K478" s="891"/>
    </row>
    <row r="479" spans="1:11" x14ac:dyDescent="0.25">
      <c r="A479" s="889"/>
      <c r="B479" s="890"/>
      <c r="C479" s="890"/>
      <c r="D479" s="890"/>
      <c r="E479" s="890"/>
      <c r="F479" s="891"/>
      <c r="G479" s="889"/>
      <c r="H479" s="890"/>
      <c r="I479" s="890"/>
      <c r="J479" s="890"/>
      <c r="K479" s="891"/>
    </row>
    <row r="480" spans="1:11" x14ac:dyDescent="0.25">
      <c r="A480" s="889"/>
      <c r="B480" s="890"/>
      <c r="C480" s="890"/>
      <c r="D480" s="890"/>
      <c r="E480" s="890"/>
      <c r="F480" s="891"/>
      <c r="G480" s="889"/>
      <c r="H480" s="890"/>
      <c r="I480" s="890"/>
      <c r="J480" s="890"/>
      <c r="K480" s="891"/>
    </row>
    <row r="481" spans="1:11" x14ac:dyDescent="0.25">
      <c r="A481" s="889"/>
      <c r="B481" s="890"/>
      <c r="C481" s="890"/>
      <c r="D481" s="890"/>
      <c r="E481" s="890"/>
      <c r="F481" s="891"/>
      <c r="G481" s="889"/>
      <c r="H481" s="890"/>
      <c r="I481" s="890"/>
      <c r="J481" s="890"/>
      <c r="K481" s="891"/>
    </row>
    <row r="482" spans="1:11" x14ac:dyDescent="0.25">
      <c r="A482" s="889"/>
      <c r="B482" s="890"/>
      <c r="C482" s="890"/>
      <c r="D482" s="890"/>
      <c r="E482" s="890"/>
      <c r="F482" s="891"/>
      <c r="G482" s="889"/>
      <c r="H482" s="890"/>
      <c r="I482" s="890"/>
      <c r="J482" s="890"/>
      <c r="K482" s="891"/>
    </row>
    <row r="483" spans="1:11" x14ac:dyDescent="0.25">
      <c r="A483" s="889"/>
      <c r="B483" s="890"/>
      <c r="C483" s="890"/>
      <c r="D483" s="890"/>
      <c r="E483" s="890"/>
      <c r="F483" s="891"/>
      <c r="G483" s="889"/>
      <c r="H483" s="890"/>
      <c r="I483" s="890"/>
      <c r="J483" s="890"/>
      <c r="K483" s="891"/>
    </row>
    <row r="484" spans="1:11" x14ac:dyDescent="0.25">
      <c r="A484" s="889"/>
      <c r="B484" s="890"/>
      <c r="C484" s="890"/>
      <c r="D484" s="890"/>
      <c r="E484" s="890"/>
      <c r="F484" s="891"/>
      <c r="G484" s="889"/>
      <c r="H484" s="890"/>
      <c r="I484" s="890"/>
      <c r="J484" s="890"/>
      <c r="K484" s="891"/>
    </row>
    <row r="485" spans="1:11" x14ac:dyDescent="0.25">
      <c r="A485" s="889"/>
      <c r="B485" s="890"/>
      <c r="C485" s="890"/>
      <c r="D485" s="890"/>
      <c r="E485" s="890"/>
      <c r="F485" s="891"/>
      <c r="G485" s="889"/>
      <c r="H485" s="890"/>
      <c r="I485" s="890"/>
      <c r="J485" s="890"/>
      <c r="K485" s="891"/>
    </row>
    <row r="486" spans="1:11" x14ac:dyDescent="0.25">
      <c r="A486" s="889"/>
      <c r="B486" s="890"/>
      <c r="C486" s="890"/>
      <c r="D486" s="890"/>
      <c r="E486" s="890"/>
      <c r="F486" s="891"/>
      <c r="G486" s="889"/>
      <c r="H486" s="890"/>
      <c r="I486" s="890"/>
      <c r="J486" s="890"/>
      <c r="K486" s="891"/>
    </row>
    <row r="487" spans="1:11" x14ac:dyDescent="0.25">
      <c r="A487" s="889"/>
      <c r="B487" s="890"/>
      <c r="C487" s="890"/>
      <c r="D487" s="890"/>
      <c r="E487" s="890"/>
      <c r="F487" s="891"/>
      <c r="G487" s="889"/>
      <c r="H487" s="890"/>
      <c r="I487" s="890"/>
      <c r="J487" s="890"/>
      <c r="K487" s="891"/>
    </row>
    <row r="488" spans="1:11" x14ac:dyDescent="0.25">
      <c r="A488" s="889"/>
      <c r="B488" s="890"/>
      <c r="C488" s="890"/>
      <c r="D488" s="890"/>
      <c r="E488" s="890"/>
      <c r="F488" s="891"/>
      <c r="G488" s="889"/>
      <c r="H488" s="890"/>
      <c r="I488" s="890"/>
      <c r="J488" s="890"/>
      <c r="K488" s="891"/>
    </row>
    <row r="489" spans="1:11" x14ac:dyDescent="0.25">
      <c r="A489" s="889"/>
      <c r="B489" s="890"/>
      <c r="C489" s="890"/>
      <c r="D489" s="890"/>
      <c r="E489" s="890"/>
      <c r="F489" s="891"/>
      <c r="G489" s="889"/>
      <c r="H489" s="890"/>
      <c r="I489" s="890"/>
      <c r="J489" s="890"/>
      <c r="K489" s="891"/>
    </row>
    <row r="490" spans="1:11" ht="15.75" thickBot="1" x14ac:dyDescent="0.3">
      <c r="A490" s="889"/>
      <c r="B490" s="890"/>
      <c r="C490" s="890"/>
      <c r="D490" s="890"/>
      <c r="E490" s="890"/>
      <c r="F490" s="891"/>
      <c r="G490" s="889"/>
      <c r="H490" s="890"/>
      <c r="I490" s="890"/>
      <c r="J490" s="890"/>
      <c r="K490" s="891"/>
    </row>
    <row r="491" spans="1:11" x14ac:dyDescent="0.25">
      <c r="A491" s="1025" t="s">
        <v>1152</v>
      </c>
      <c r="B491" s="1031"/>
      <c r="C491" s="1031"/>
      <c r="D491" s="1031"/>
      <c r="E491" s="1031"/>
      <c r="F491" s="1032"/>
      <c r="G491" s="1025" t="s">
        <v>1153</v>
      </c>
      <c r="H491" s="1031"/>
      <c r="I491" s="1031"/>
      <c r="J491" s="1031"/>
      <c r="K491" s="1032"/>
    </row>
    <row r="492" spans="1:11" ht="36" customHeight="1" thickBot="1" x14ac:dyDescent="0.3">
      <c r="A492" s="1033"/>
      <c r="B492" s="1034"/>
      <c r="C492" s="1034"/>
      <c r="D492" s="1034"/>
      <c r="E492" s="1034"/>
      <c r="F492" s="1035"/>
      <c r="G492" s="1033"/>
      <c r="H492" s="1034"/>
      <c r="I492" s="1034"/>
      <c r="J492" s="1034"/>
      <c r="K492" s="1035"/>
    </row>
    <row r="493" spans="1:11" x14ac:dyDescent="0.25">
      <c r="A493" s="904" t="s">
        <v>503</v>
      </c>
      <c r="B493" s="905"/>
      <c r="C493" s="905"/>
      <c r="D493" s="905"/>
      <c r="E493" s="905"/>
      <c r="F493" s="906"/>
      <c r="G493" s="904" t="s">
        <v>504</v>
      </c>
      <c r="H493" s="905"/>
      <c r="I493" s="905"/>
      <c r="J493" s="905"/>
      <c r="K493" s="906"/>
    </row>
    <row r="494" spans="1:11" x14ac:dyDescent="0.25">
      <c r="A494" s="889"/>
      <c r="B494" s="890"/>
      <c r="C494" s="890"/>
      <c r="D494" s="890"/>
      <c r="E494" s="890"/>
      <c r="F494" s="891"/>
      <c r="G494" s="889"/>
      <c r="H494" s="890"/>
      <c r="I494" s="890"/>
      <c r="J494" s="890"/>
      <c r="K494" s="891"/>
    </row>
    <row r="495" spans="1:11" x14ac:dyDescent="0.25">
      <c r="A495" s="889"/>
      <c r="B495" s="890"/>
      <c r="C495" s="890"/>
      <c r="D495" s="890"/>
      <c r="E495" s="890"/>
      <c r="F495" s="891"/>
      <c r="G495" s="889"/>
      <c r="H495" s="890"/>
      <c r="I495" s="890"/>
      <c r="J495" s="890"/>
      <c r="K495" s="891"/>
    </row>
    <row r="496" spans="1:11" x14ac:dyDescent="0.25">
      <c r="A496" s="889"/>
      <c r="B496" s="890"/>
      <c r="C496" s="890"/>
      <c r="D496" s="890"/>
      <c r="E496" s="890"/>
      <c r="F496" s="891"/>
      <c r="G496" s="889"/>
      <c r="H496" s="890"/>
      <c r="I496" s="890"/>
      <c r="J496" s="890"/>
      <c r="K496" s="891"/>
    </row>
    <row r="497" spans="1:11" x14ac:dyDescent="0.25">
      <c r="A497" s="889"/>
      <c r="B497" s="890"/>
      <c r="C497" s="890"/>
      <c r="D497" s="890"/>
      <c r="E497" s="890"/>
      <c r="F497" s="891"/>
      <c r="G497" s="889"/>
      <c r="H497" s="890"/>
      <c r="I497" s="890"/>
      <c r="J497" s="890"/>
      <c r="K497" s="891"/>
    </row>
    <row r="498" spans="1:11" x14ac:dyDescent="0.25">
      <c r="A498" s="889"/>
      <c r="B498" s="890"/>
      <c r="C498" s="890"/>
      <c r="D498" s="890"/>
      <c r="E498" s="890"/>
      <c r="F498" s="891"/>
      <c r="G498" s="889"/>
      <c r="H498" s="890"/>
      <c r="I498" s="890"/>
      <c r="J498" s="890"/>
      <c r="K498" s="891"/>
    </row>
    <row r="499" spans="1:11" x14ac:dyDescent="0.25">
      <c r="A499" s="889"/>
      <c r="B499" s="890"/>
      <c r="C499" s="890"/>
      <c r="D499" s="890"/>
      <c r="E499" s="890"/>
      <c r="F499" s="891"/>
      <c r="G499" s="889"/>
      <c r="H499" s="890"/>
      <c r="I499" s="890"/>
      <c r="J499" s="890"/>
      <c r="K499" s="891"/>
    </row>
    <row r="500" spans="1:11" x14ac:dyDescent="0.25">
      <c r="A500" s="889"/>
      <c r="B500" s="890"/>
      <c r="C500" s="890"/>
      <c r="D500" s="890"/>
      <c r="E500" s="890"/>
      <c r="F500" s="891"/>
      <c r="G500" s="889"/>
      <c r="H500" s="890"/>
      <c r="I500" s="890"/>
      <c r="J500" s="890"/>
      <c r="K500" s="891"/>
    </row>
    <row r="501" spans="1:11" x14ac:dyDescent="0.25">
      <c r="A501" s="889"/>
      <c r="B501" s="890"/>
      <c r="C501" s="890"/>
      <c r="D501" s="890"/>
      <c r="E501" s="890"/>
      <c r="F501" s="891"/>
      <c r="G501" s="889"/>
      <c r="H501" s="890"/>
      <c r="I501" s="890"/>
      <c r="J501" s="890"/>
      <c r="K501" s="891"/>
    </row>
    <row r="502" spans="1:11" x14ac:dyDescent="0.25">
      <c r="A502" s="889"/>
      <c r="B502" s="890"/>
      <c r="C502" s="890"/>
      <c r="D502" s="890"/>
      <c r="E502" s="890"/>
      <c r="F502" s="891"/>
      <c r="G502" s="889"/>
      <c r="H502" s="890"/>
      <c r="I502" s="890"/>
      <c r="J502" s="890"/>
      <c r="K502" s="891"/>
    </row>
    <row r="503" spans="1:11" x14ac:dyDescent="0.25">
      <c r="A503" s="889"/>
      <c r="B503" s="890"/>
      <c r="C503" s="890"/>
      <c r="D503" s="890"/>
      <c r="E503" s="890"/>
      <c r="F503" s="891"/>
      <c r="G503" s="889"/>
      <c r="H503" s="890"/>
      <c r="I503" s="890"/>
      <c r="J503" s="890"/>
      <c r="K503" s="891"/>
    </row>
    <row r="504" spans="1:11" x14ac:dyDescent="0.25">
      <c r="A504" s="889"/>
      <c r="B504" s="890"/>
      <c r="C504" s="890"/>
      <c r="D504" s="890"/>
      <c r="E504" s="890"/>
      <c r="F504" s="891"/>
      <c r="G504" s="889"/>
      <c r="H504" s="890"/>
      <c r="I504" s="890"/>
      <c r="J504" s="890"/>
      <c r="K504" s="891"/>
    </row>
    <row r="505" spans="1:11" x14ac:dyDescent="0.25">
      <c r="A505" s="889"/>
      <c r="B505" s="890"/>
      <c r="C505" s="890"/>
      <c r="D505" s="890"/>
      <c r="E505" s="890"/>
      <c r="F505" s="891"/>
      <c r="G505" s="889"/>
      <c r="H505" s="890"/>
      <c r="I505" s="890"/>
      <c r="J505" s="890"/>
      <c r="K505" s="891"/>
    </row>
    <row r="506" spans="1:11" ht="15.75" thickBot="1" x14ac:dyDescent="0.3">
      <c r="A506" s="889"/>
      <c r="B506" s="890"/>
      <c r="C506" s="890"/>
      <c r="D506" s="890"/>
      <c r="E506" s="890"/>
      <c r="F506" s="891"/>
      <c r="G506" s="889"/>
      <c r="H506" s="890"/>
      <c r="I506" s="890"/>
      <c r="J506" s="890"/>
      <c r="K506" s="891"/>
    </row>
    <row r="507" spans="1:11" x14ac:dyDescent="0.25">
      <c r="A507" s="1025" t="s">
        <v>1276</v>
      </c>
      <c r="B507" s="1031"/>
      <c r="C507" s="1031"/>
      <c r="D507" s="1031"/>
      <c r="E507" s="1031"/>
      <c r="F507" s="1032"/>
      <c r="G507" s="1025" t="s">
        <v>1277</v>
      </c>
      <c r="H507" s="1031"/>
      <c r="I507" s="1031"/>
      <c r="J507" s="1031"/>
      <c r="K507" s="1032"/>
    </row>
    <row r="508" spans="1:11" ht="15.75" thickBot="1" x14ac:dyDescent="0.3">
      <c r="A508" s="1033"/>
      <c r="B508" s="1034"/>
      <c r="C508" s="1034"/>
      <c r="D508" s="1034"/>
      <c r="E508" s="1034"/>
      <c r="F508" s="1035"/>
      <c r="G508" s="1033"/>
      <c r="H508" s="1034"/>
      <c r="I508" s="1034"/>
      <c r="J508" s="1034"/>
      <c r="K508" s="1035"/>
    </row>
    <row r="509" spans="1:11" x14ac:dyDescent="0.25">
      <c r="A509" s="904" t="s">
        <v>503</v>
      </c>
      <c r="B509" s="905"/>
      <c r="C509" s="905"/>
      <c r="D509" s="905"/>
      <c r="E509" s="905"/>
      <c r="F509" s="906"/>
      <c r="G509" s="904" t="s">
        <v>504</v>
      </c>
      <c r="H509" s="905"/>
      <c r="I509" s="905"/>
      <c r="J509" s="905"/>
      <c r="K509" s="906"/>
    </row>
    <row r="510" spans="1:11" x14ac:dyDescent="0.25">
      <c r="A510" s="889"/>
      <c r="B510" s="890"/>
      <c r="C510" s="890"/>
      <c r="D510" s="890"/>
      <c r="E510" s="890"/>
      <c r="F510" s="891"/>
      <c r="G510" s="889"/>
      <c r="H510" s="890"/>
      <c r="I510" s="890"/>
      <c r="J510" s="890"/>
      <c r="K510" s="891"/>
    </row>
    <row r="511" spans="1:11" x14ac:dyDescent="0.25">
      <c r="A511" s="889"/>
      <c r="B511" s="890"/>
      <c r="C511" s="890"/>
      <c r="D511" s="890"/>
      <c r="E511" s="890"/>
      <c r="F511" s="891"/>
      <c r="G511" s="889"/>
      <c r="H511" s="890"/>
      <c r="I511" s="890"/>
      <c r="J511" s="890"/>
      <c r="K511" s="891"/>
    </row>
    <row r="512" spans="1:11" x14ac:dyDescent="0.25">
      <c r="A512" s="889"/>
      <c r="B512" s="890"/>
      <c r="C512" s="890"/>
      <c r="D512" s="890"/>
      <c r="E512" s="890"/>
      <c r="F512" s="891"/>
      <c r="G512" s="889"/>
      <c r="H512" s="890"/>
      <c r="I512" s="890"/>
      <c r="J512" s="890"/>
      <c r="K512" s="891"/>
    </row>
    <row r="513" spans="1:11" x14ac:dyDescent="0.25">
      <c r="A513" s="889"/>
      <c r="B513" s="890"/>
      <c r="C513" s="890"/>
      <c r="D513" s="890"/>
      <c r="E513" s="890"/>
      <c r="F513" s="891"/>
      <c r="G513" s="889"/>
      <c r="H513" s="890"/>
      <c r="I513" s="890"/>
      <c r="J513" s="890"/>
      <c r="K513" s="891"/>
    </row>
    <row r="514" spans="1:11" x14ac:dyDescent="0.25">
      <c r="A514" s="889"/>
      <c r="B514" s="890"/>
      <c r="C514" s="890"/>
      <c r="D514" s="890"/>
      <c r="E514" s="890"/>
      <c r="F514" s="891"/>
      <c r="G514" s="889"/>
      <c r="H514" s="890"/>
      <c r="I514" s="890"/>
      <c r="J514" s="890"/>
      <c r="K514" s="891"/>
    </row>
    <row r="515" spans="1:11" x14ac:dyDescent="0.25">
      <c r="A515" s="889"/>
      <c r="B515" s="890"/>
      <c r="C515" s="890"/>
      <c r="D515" s="890"/>
      <c r="E515" s="890"/>
      <c r="F515" s="891"/>
      <c r="G515" s="889"/>
      <c r="H515" s="890"/>
      <c r="I515" s="890"/>
      <c r="J515" s="890"/>
      <c r="K515" s="891"/>
    </row>
    <row r="516" spans="1:11" x14ac:dyDescent="0.25">
      <c r="A516" s="889"/>
      <c r="B516" s="890"/>
      <c r="C516" s="890"/>
      <c r="D516" s="890"/>
      <c r="E516" s="890"/>
      <c r="F516" s="891"/>
      <c r="G516" s="889"/>
      <c r="H516" s="890"/>
      <c r="I516" s="890"/>
      <c r="J516" s="890"/>
      <c r="K516" s="891"/>
    </row>
    <row r="517" spans="1:11" x14ac:dyDescent="0.25">
      <c r="A517" s="889"/>
      <c r="B517" s="890"/>
      <c r="C517" s="890"/>
      <c r="D517" s="890"/>
      <c r="E517" s="890"/>
      <c r="F517" s="891"/>
      <c r="G517" s="889"/>
      <c r="H517" s="890"/>
      <c r="I517" s="890"/>
      <c r="J517" s="890"/>
      <c r="K517" s="891"/>
    </row>
    <row r="518" spans="1:11" x14ac:dyDescent="0.25">
      <c r="A518" s="889"/>
      <c r="B518" s="890"/>
      <c r="C518" s="890"/>
      <c r="D518" s="890"/>
      <c r="E518" s="890"/>
      <c r="F518" s="891"/>
      <c r="G518" s="889"/>
      <c r="H518" s="890"/>
      <c r="I518" s="890"/>
      <c r="J518" s="890"/>
      <c r="K518" s="891"/>
    </row>
    <row r="519" spans="1:11" x14ac:dyDescent="0.25">
      <c r="A519" s="889"/>
      <c r="B519" s="890"/>
      <c r="C519" s="890"/>
      <c r="D519" s="890"/>
      <c r="E519" s="890"/>
      <c r="F519" s="891"/>
      <c r="G519" s="889"/>
      <c r="H519" s="890"/>
      <c r="I519" s="890"/>
      <c r="J519" s="890"/>
      <c r="K519" s="891"/>
    </row>
    <row r="520" spans="1:11" x14ac:dyDescent="0.25">
      <c r="A520" s="889"/>
      <c r="B520" s="890"/>
      <c r="C520" s="890"/>
      <c r="D520" s="890"/>
      <c r="E520" s="890"/>
      <c r="F520" s="891"/>
      <c r="G520" s="889"/>
      <c r="H520" s="890"/>
      <c r="I520" s="890"/>
      <c r="J520" s="890"/>
      <c r="K520" s="891"/>
    </row>
    <row r="521" spans="1:11" x14ac:dyDescent="0.25">
      <c r="A521" s="889"/>
      <c r="B521" s="890"/>
      <c r="C521" s="890"/>
      <c r="D521" s="890"/>
      <c r="E521" s="890"/>
      <c r="F521" s="891"/>
      <c r="G521" s="889"/>
      <c r="H521" s="890"/>
      <c r="I521" s="890"/>
      <c r="J521" s="890"/>
      <c r="K521" s="891"/>
    </row>
    <row r="522" spans="1:11" ht="15.75" thickBot="1" x14ac:dyDescent="0.3">
      <c r="A522" s="889"/>
      <c r="B522" s="890"/>
      <c r="C522" s="890"/>
      <c r="D522" s="890"/>
      <c r="E522" s="890"/>
      <c r="F522" s="891"/>
      <c r="G522" s="889"/>
      <c r="H522" s="890"/>
      <c r="I522" s="890"/>
      <c r="J522" s="890"/>
      <c r="K522" s="891"/>
    </row>
    <row r="523" spans="1:11" x14ac:dyDescent="0.25">
      <c r="A523" s="1025" t="s">
        <v>1278</v>
      </c>
      <c r="B523" s="1031"/>
      <c r="C523" s="1031"/>
      <c r="D523" s="1031"/>
      <c r="E523" s="1031"/>
      <c r="F523" s="1032"/>
      <c r="G523" s="1025" t="s">
        <v>1154</v>
      </c>
      <c r="H523" s="1031"/>
      <c r="I523" s="1031"/>
      <c r="J523" s="1031"/>
      <c r="K523" s="1032"/>
    </row>
    <row r="524" spans="1:11" ht="15.75" thickBot="1" x14ac:dyDescent="0.3">
      <c r="A524" s="1033"/>
      <c r="B524" s="1034"/>
      <c r="C524" s="1034"/>
      <c r="D524" s="1034"/>
      <c r="E524" s="1034"/>
      <c r="F524" s="1035"/>
      <c r="G524" s="1033"/>
      <c r="H524" s="1034"/>
      <c r="I524" s="1034"/>
      <c r="J524" s="1034"/>
      <c r="K524" s="1035"/>
    </row>
    <row r="525" spans="1:11" x14ac:dyDescent="0.25">
      <c r="A525" s="904" t="s">
        <v>503</v>
      </c>
      <c r="B525" s="905"/>
      <c r="C525" s="905"/>
      <c r="D525" s="905"/>
      <c r="E525" s="905"/>
      <c r="F525" s="906"/>
      <c r="G525" s="904" t="s">
        <v>504</v>
      </c>
      <c r="H525" s="905"/>
      <c r="I525" s="905"/>
      <c r="J525" s="905"/>
      <c r="K525" s="906"/>
    </row>
    <row r="526" spans="1:11" x14ac:dyDescent="0.25">
      <c r="A526" s="889"/>
      <c r="B526" s="890"/>
      <c r="C526" s="890"/>
      <c r="D526" s="890"/>
      <c r="E526" s="890"/>
      <c r="F526" s="891"/>
      <c r="G526" s="889"/>
      <c r="H526" s="890"/>
      <c r="I526" s="890"/>
      <c r="J526" s="890"/>
      <c r="K526" s="891"/>
    </row>
    <row r="527" spans="1:11" x14ac:dyDescent="0.25">
      <c r="A527" s="889"/>
      <c r="B527" s="890"/>
      <c r="C527" s="890"/>
      <c r="D527" s="890"/>
      <c r="E527" s="890"/>
      <c r="F527" s="891"/>
      <c r="G527" s="889"/>
      <c r="H527" s="890"/>
      <c r="I527" s="890"/>
      <c r="J527" s="890"/>
      <c r="K527" s="891"/>
    </row>
    <row r="528" spans="1:11" x14ac:dyDescent="0.25">
      <c r="A528" s="889"/>
      <c r="B528" s="890"/>
      <c r="C528" s="890"/>
      <c r="D528" s="890"/>
      <c r="E528" s="890"/>
      <c r="F528" s="891"/>
      <c r="G528" s="889"/>
      <c r="H528" s="890"/>
      <c r="I528" s="890"/>
      <c r="J528" s="890"/>
      <c r="K528" s="891"/>
    </row>
    <row r="529" spans="1:11" x14ac:dyDescent="0.25">
      <c r="A529" s="889"/>
      <c r="B529" s="890"/>
      <c r="C529" s="890"/>
      <c r="D529" s="890"/>
      <c r="E529" s="890"/>
      <c r="F529" s="891"/>
      <c r="G529" s="889"/>
      <c r="H529" s="890"/>
      <c r="I529" s="890"/>
      <c r="J529" s="890"/>
      <c r="K529" s="891"/>
    </row>
    <row r="530" spans="1:11" x14ac:dyDescent="0.25">
      <c r="A530" s="889"/>
      <c r="B530" s="890"/>
      <c r="C530" s="890"/>
      <c r="D530" s="890"/>
      <c r="E530" s="890"/>
      <c r="F530" s="891"/>
      <c r="G530" s="889"/>
      <c r="H530" s="890"/>
      <c r="I530" s="890"/>
      <c r="J530" s="890"/>
      <c r="K530" s="891"/>
    </row>
    <row r="531" spans="1:11" x14ac:dyDescent="0.25">
      <c r="A531" s="889"/>
      <c r="B531" s="890"/>
      <c r="C531" s="890"/>
      <c r="D531" s="890"/>
      <c r="E531" s="890"/>
      <c r="F531" s="891"/>
      <c r="G531" s="889"/>
      <c r="H531" s="890"/>
      <c r="I531" s="890"/>
      <c r="J531" s="890"/>
      <c r="K531" s="891"/>
    </row>
    <row r="532" spans="1:11" x14ac:dyDescent="0.25">
      <c r="A532" s="889"/>
      <c r="B532" s="890"/>
      <c r="C532" s="890"/>
      <c r="D532" s="890"/>
      <c r="E532" s="890"/>
      <c r="F532" s="891"/>
      <c r="G532" s="889"/>
      <c r="H532" s="890"/>
      <c r="I532" s="890"/>
      <c r="J532" s="890"/>
      <c r="K532" s="891"/>
    </row>
    <row r="533" spans="1:11" x14ac:dyDescent="0.25">
      <c r="A533" s="889"/>
      <c r="B533" s="890"/>
      <c r="C533" s="890"/>
      <c r="D533" s="890"/>
      <c r="E533" s="890"/>
      <c r="F533" s="891"/>
      <c r="G533" s="889"/>
      <c r="H533" s="890"/>
      <c r="I533" s="890"/>
      <c r="J533" s="890"/>
      <c r="K533" s="891"/>
    </row>
    <row r="534" spans="1:11" x14ac:dyDescent="0.25">
      <c r="A534" s="889"/>
      <c r="B534" s="890"/>
      <c r="C534" s="890"/>
      <c r="D534" s="890"/>
      <c r="E534" s="890"/>
      <c r="F534" s="891"/>
      <c r="G534" s="889"/>
      <c r="H534" s="890"/>
      <c r="I534" s="890"/>
      <c r="J534" s="890"/>
      <c r="K534" s="891"/>
    </row>
    <row r="535" spans="1:11" x14ac:dyDescent="0.25">
      <c r="A535" s="889"/>
      <c r="B535" s="890"/>
      <c r="C535" s="890"/>
      <c r="D535" s="890"/>
      <c r="E535" s="890"/>
      <c r="F535" s="891"/>
      <c r="G535" s="889"/>
      <c r="H535" s="890"/>
      <c r="I535" s="890"/>
      <c r="J535" s="890"/>
      <c r="K535" s="891"/>
    </row>
    <row r="536" spans="1:11" x14ac:dyDescent="0.25">
      <c r="A536" s="889"/>
      <c r="B536" s="890"/>
      <c r="C536" s="890"/>
      <c r="D536" s="890"/>
      <c r="E536" s="890"/>
      <c r="F536" s="891"/>
      <c r="G536" s="889"/>
      <c r="H536" s="890"/>
      <c r="I536" s="890"/>
      <c r="J536" s="890"/>
      <c r="K536" s="891"/>
    </row>
    <row r="537" spans="1:11" x14ac:dyDescent="0.25">
      <c r="A537" s="889"/>
      <c r="B537" s="890"/>
      <c r="C537" s="890"/>
      <c r="D537" s="890"/>
      <c r="E537" s="890"/>
      <c r="F537" s="891"/>
      <c r="G537" s="889"/>
      <c r="H537" s="890"/>
      <c r="I537" s="890"/>
      <c r="J537" s="890"/>
      <c r="K537" s="891"/>
    </row>
    <row r="538" spans="1:11" ht="15.75" thickBot="1" x14ac:dyDescent="0.3">
      <c r="A538" s="889"/>
      <c r="B538" s="890"/>
      <c r="C538" s="890"/>
      <c r="D538" s="890"/>
      <c r="E538" s="890"/>
      <c r="F538" s="891"/>
      <c r="G538" s="889"/>
      <c r="H538" s="890"/>
      <c r="I538" s="890"/>
      <c r="J538" s="890"/>
      <c r="K538" s="891"/>
    </row>
    <row r="539" spans="1:11" x14ac:dyDescent="0.25">
      <c r="A539" s="1025" t="s">
        <v>1279</v>
      </c>
      <c r="B539" s="1031"/>
      <c r="C539" s="1031"/>
      <c r="D539" s="1031"/>
      <c r="E539" s="1031"/>
      <c r="F539" s="1032"/>
      <c r="G539" s="1025" t="s">
        <v>1280</v>
      </c>
      <c r="H539" s="1031"/>
      <c r="I539" s="1031"/>
      <c r="J539" s="1031"/>
      <c r="K539" s="1032"/>
    </row>
    <row r="540" spans="1:11" ht="15.75" thickBot="1" x14ac:dyDescent="0.3">
      <c r="A540" s="1033"/>
      <c r="B540" s="1034"/>
      <c r="C540" s="1034"/>
      <c r="D540" s="1034"/>
      <c r="E540" s="1034"/>
      <c r="F540" s="1035"/>
      <c r="G540" s="1033"/>
      <c r="H540" s="1034"/>
      <c r="I540" s="1034"/>
      <c r="J540" s="1034"/>
      <c r="K540" s="1035"/>
    </row>
    <row r="541" spans="1:11" x14ac:dyDescent="0.25">
      <c r="A541" s="904" t="s">
        <v>503</v>
      </c>
      <c r="B541" s="905"/>
      <c r="C541" s="905"/>
      <c r="D541" s="905"/>
      <c r="E541" s="905"/>
      <c r="F541" s="906"/>
      <c r="G541" s="904" t="s">
        <v>504</v>
      </c>
      <c r="H541" s="905"/>
      <c r="I541" s="905"/>
      <c r="J541" s="905"/>
      <c r="K541" s="906"/>
    </row>
    <row r="542" spans="1:11" x14ac:dyDescent="0.25">
      <c r="A542" s="889"/>
      <c r="B542" s="890"/>
      <c r="C542" s="890"/>
      <c r="D542" s="890"/>
      <c r="E542" s="890"/>
      <c r="F542" s="891"/>
      <c r="G542" s="889"/>
      <c r="H542" s="890"/>
      <c r="I542" s="890"/>
      <c r="J542" s="890"/>
      <c r="K542" s="891"/>
    </row>
    <row r="543" spans="1:11" x14ac:dyDescent="0.25">
      <c r="A543" s="889"/>
      <c r="B543" s="890"/>
      <c r="C543" s="890"/>
      <c r="D543" s="890"/>
      <c r="E543" s="890"/>
      <c r="F543" s="891"/>
      <c r="G543" s="889"/>
      <c r="H543" s="890"/>
      <c r="I543" s="890"/>
      <c r="J543" s="890"/>
      <c r="K543" s="891"/>
    </row>
    <row r="544" spans="1:11" x14ac:dyDescent="0.25">
      <c r="A544" s="889"/>
      <c r="B544" s="890"/>
      <c r="C544" s="890"/>
      <c r="D544" s="890"/>
      <c r="E544" s="890"/>
      <c r="F544" s="891"/>
      <c r="G544" s="889"/>
      <c r="H544" s="890"/>
      <c r="I544" s="890"/>
      <c r="J544" s="890"/>
      <c r="K544" s="891"/>
    </row>
    <row r="545" spans="1:11" x14ac:dyDescent="0.25">
      <c r="A545" s="889"/>
      <c r="B545" s="890"/>
      <c r="C545" s="890"/>
      <c r="D545" s="890"/>
      <c r="E545" s="890"/>
      <c r="F545" s="891"/>
      <c r="G545" s="889"/>
      <c r="H545" s="890"/>
      <c r="I545" s="890"/>
      <c r="J545" s="890"/>
      <c r="K545" s="891"/>
    </row>
    <row r="546" spans="1:11" x14ac:dyDescent="0.25">
      <c r="A546" s="889"/>
      <c r="B546" s="890"/>
      <c r="C546" s="890"/>
      <c r="D546" s="890"/>
      <c r="E546" s="890"/>
      <c r="F546" s="891"/>
      <c r="G546" s="889"/>
      <c r="H546" s="890"/>
      <c r="I546" s="890"/>
      <c r="J546" s="890"/>
      <c r="K546" s="891"/>
    </row>
    <row r="547" spans="1:11" x14ac:dyDescent="0.25">
      <c r="A547" s="889"/>
      <c r="B547" s="890"/>
      <c r="C547" s="890"/>
      <c r="D547" s="890"/>
      <c r="E547" s="890"/>
      <c r="F547" s="891"/>
      <c r="G547" s="889"/>
      <c r="H547" s="890"/>
      <c r="I547" s="890"/>
      <c r="J547" s="890"/>
      <c r="K547" s="891"/>
    </row>
    <row r="548" spans="1:11" x14ac:dyDescent="0.25">
      <c r="A548" s="889"/>
      <c r="B548" s="890"/>
      <c r="C548" s="890"/>
      <c r="D548" s="890"/>
      <c r="E548" s="890"/>
      <c r="F548" s="891"/>
      <c r="G548" s="889"/>
      <c r="H548" s="890"/>
      <c r="I548" s="890"/>
      <c r="J548" s="890"/>
      <c r="K548" s="891"/>
    </row>
    <row r="549" spans="1:11" x14ac:dyDescent="0.25">
      <c r="A549" s="889"/>
      <c r="B549" s="890"/>
      <c r="C549" s="890"/>
      <c r="D549" s="890"/>
      <c r="E549" s="890"/>
      <c r="F549" s="891"/>
      <c r="G549" s="889"/>
      <c r="H549" s="890"/>
      <c r="I549" s="890"/>
      <c r="J549" s="890"/>
      <c r="K549" s="891"/>
    </row>
    <row r="550" spans="1:11" x14ac:dyDescent="0.25">
      <c r="A550" s="889"/>
      <c r="B550" s="890"/>
      <c r="C550" s="890"/>
      <c r="D550" s="890"/>
      <c r="E550" s="890"/>
      <c r="F550" s="891"/>
      <c r="G550" s="889"/>
      <c r="H550" s="890"/>
      <c r="I550" s="890"/>
      <c r="J550" s="890"/>
      <c r="K550" s="891"/>
    </row>
    <row r="551" spans="1:11" x14ac:dyDescent="0.25">
      <c r="A551" s="889"/>
      <c r="B551" s="890"/>
      <c r="C551" s="890"/>
      <c r="D551" s="890"/>
      <c r="E551" s="890"/>
      <c r="F551" s="891"/>
      <c r="G551" s="889"/>
      <c r="H551" s="890"/>
      <c r="I551" s="890"/>
      <c r="J551" s="890"/>
      <c r="K551" s="891"/>
    </row>
    <row r="552" spans="1:11" x14ac:dyDescent="0.25">
      <c r="A552" s="889"/>
      <c r="B552" s="890"/>
      <c r="C552" s="890"/>
      <c r="D552" s="890"/>
      <c r="E552" s="890"/>
      <c r="F552" s="891"/>
      <c r="G552" s="889"/>
      <c r="H552" s="890"/>
      <c r="I552" s="890"/>
      <c r="J552" s="890"/>
      <c r="K552" s="891"/>
    </row>
    <row r="553" spans="1:11" x14ac:dyDescent="0.25">
      <c r="A553" s="889"/>
      <c r="B553" s="890"/>
      <c r="C553" s="890"/>
      <c r="D553" s="890"/>
      <c r="E553" s="890"/>
      <c r="F553" s="891"/>
      <c r="G553" s="889"/>
      <c r="H553" s="890"/>
      <c r="I553" s="890"/>
      <c r="J553" s="890"/>
      <c r="K553" s="891"/>
    </row>
    <row r="554" spans="1:11" ht="15.75" thickBot="1" x14ac:dyDescent="0.3">
      <c r="A554" s="889"/>
      <c r="B554" s="890"/>
      <c r="C554" s="890"/>
      <c r="D554" s="890"/>
      <c r="E554" s="890"/>
      <c r="F554" s="891"/>
      <c r="G554" s="889"/>
      <c r="H554" s="890"/>
      <c r="I554" s="890"/>
      <c r="J554" s="890"/>
      <c r="K554" s="891"/>
    </row>
    <row r="555" spans="1:11" ht="15" customHeight="1" x14ac:dyDescent="0.25">
      <c r="A555" s="1025" t="s">
        <v>1281</v>
      </c>
      <c r="B555" s="1026"/>
      <c r="C555" s="1026"/>
      <c r="D555" s="1026"/>
      <c r="E555" s="1026"/>
      <c r="F555" s="1027"/>
      <c r="G555" s="1025" t="s">
        <v>1282</v>
      </c>
      <c r="H555" s="1031"/>
      <c r="I555" s="1031"/>
      <c r="J555" s="1031"/>
      <c r="K555" s="1032"/>
    </row>
    <row r="556" spans="1:11" ht="28.5" customHeight="1" thickBot="1" x14ac:dyDescent="0.3">
      <c r="A556" s="1028"/>
      <c r="B556" s="1029"/>
      <c r="C556" s="1029"/>
      <c r="D556" s="1029"/>
      <c r="E556" s="1029"/>
      <c r="F556" s="1030"/>
      <c r="G556" s="1033"/>
      <c r="H556" s="1034"/>
      <c r="I556" s="1034"/>
      <c r="J556" s="1034"/>
      <c r="K556" s="1035"/>
    </row>
    <row r="557" spans="1:11" x14ac:dyDescent="0.25">
      <c r="A557" s="904" t="s">
        <v>503</v>
      </c>
      <c r="B557" s="905"/>
      <c r="C557" s="905"/>
      <c r="D557" s="905"/>
      <c r="E557" s="905"/>
      <c r="F557" s="906"/>
      <c r="G557" s="904" t="s">
        <v>504</v>
      </c>
      <c r="H557" s="905"/>
      <c r="I557" s="905"/>
      <c r="J557" s="905"/>
      <c r="K557" s="906"/>
    </row>
    <row r="558" spans="1:11" x14ac:dyDescent="0.25">
      <c r="A558" s="889"/>
      <c r="B558" s="890"/>
      <c r="C558" s="890"/>
      <c r="D558" s="890"/>
      <c r="E558" s="890"/>
      <c r="F558" s="891"/>
      <c r="G558" s="889"/>
      <c r="H558" s="890"/>
      <c r="I558" s="890"/>
      <c r="J558" s="890"/>
      <c r="K558" s="891"/>
    </row>
    <row r="559" spans="1:11" x14ac:dyDescent="0.25">
      <c r="A559" s="889"/>
      <c r="B559" s="890"/>
      <c r="C559" s="890"/>
      <c r="D559" s="890"/>
      <c r="E559" s="890"/>
      <c r="F559" s="891"/>
      <c r="G559" s="889"/>
      <c r="H559" s="890"/>
      <c r="I559" s="890"/>
      <c r="J559" s="890"/>
      <c r="K559" s="891"/>
    </row>
    <row r="560" spans="1:11" x14ac:dyDescent="0.25">
      <c r="A560" s="889"/>
      <c r="B560" s="890"/>
      <c r="C560" s="890"/>
      <c r="D560" s="890"/>
      <c r="E560" s="890"/>
      <c r="F560" s="891"/>
      <c r="G560" s="889"/>
      <c r="H560" s="890"/>
      <c r="I560" s="890"/>
      <c r="J560" s="890"/>
      <c r="K560" s="891"/>
    </row>
    <row r="561" spans="1:11" x14ac:dyDescent="0.25">
      <c r="A561" s="889"/>
      <c r="B561" s="890"/>
      <c r="C561" s="890"/>
      <c r="D561" s="890"/>
      <c r="E561" s="890"/>
      <c r="F561" s="891"/>
      <c r="G561" s="889"/>
      <c r="H561" s="890"/>
      <c r="I561" s="890"/>
      <c r="J561" s="890"/>
      <c r="K561" s="891"/>
    </row>
    <row r="562" spans="1:11" x14ac:dyDescent="0.25">
      <c r="A562" s="889"/>
      <c r="B562" s="890"/>
      <c r="C562" s="890"/>
      <c r="D562" s="890"/>
      <c r="E562" s="890"/>
      <c r="F562" s="891"/>
      <c r="G562" s="889"/>
      <c r="H562" s="890"/>
      <c r="I562" s="890"/>
      <c r="J562" s="890"/>
      <c r="K562" s="891"/>
    </row>
    <row r="563" spans="1:11" x14ac:dyDescent="0.25">
      <c r="A563" s="889"/>
      <c r="B563" s="890"/>
      <c r="C563" s="890"/>
      <c r="D563" s="890"/>
      <c r="E563" s="890"/>
      <c r="F563" s="891"/>
      <c r="G563" s="889"/>
      <c r="H563" s="890"/>
      <c r="I563" s="890"/>
      <c r="J563" s="890"/>
      <c r="K563" s="891"/>
    </row>
    <row r="564" spans="1:11" x14ac:dyDescent="0.25">
      <c r="A564" s="889"/>
      <c r="B564" s="890"/>
      <c r="C564" s="890"/>
      <c r="D564" s="890"/>
      <c r="E564" s="890"/>
      <c r="F564" s="891"/>
      <c r="G564" s="889"/>
      <c r="H564" s="890"/>
      <c r="I564" s="890"/>
      <c r="J564" s="890"/>
      <c r="K564" s="891"/>
    </row>
    <row r="565" spans="1:11" x14ac:dyDescent="0.25">
      <c r="A565" s="889"/>
      <c r="B565" s="890"/>
      <c r="C565" s="890"/>
      <c r="D565" s="890"/>
      <c r="E565" s="890"/>
      <c r="F565" s="891"/>
      <c r="G565" s="889"/>
      <c r="H565" s="890"/>
      <c r="I565" s="890"/>
      <c r="J565" s="890"/>
      <c r="K565" s="891"/>
    </row>
    <row r="566" spans="1:11" x14ac:dyDescent="0.25">
      <c r="A566" s="889"/>
      <c r="B566" s="890"/>
      <c r="C566" s="890"/>
      <c r="D566" s="890"/>
      <c r="E566" s="890"/>
      <c r="F566" s="891"/>
      <c r="G566" s="889"/>
      <c r="H566" s="890"/>
      <c r="I566" s="890"/>
      <c r="J566" s="890"/>
      <c r="K566" s="891"/>
    </row>
    <row r="567" spans="1:11" x14ac:dyDescent="0.25">
      <c r="A567" s="889"/>
      <c r="B567" s="890"/>
      <c r="C567" s="890"/>
      <c r="D567" s="890"/>
      <c r="E567" s="890"/>
      <c r="F567" s="891"/>
      <c r="G567" s="889"/>
      <c r="H567" s="890"/>
      <c r="I567" s="890"/>
      <c r="J567" s="890"/>
      <c r="K567" s="891"/>
    </row>
    <row r="568" spans="1:11" x14ac:dyDescent="0.25">
      <c r="A568" s="889"/>
      <c r="B568" s="890"/>
      <c r="C568" s="890"/>
      <c r="D568" s="890"/>
      <c r="E568" s="890"/>
      <c r="F568" s="891"/>
      <c r="G568" s="889"/>
      <c r="H568" s="890"/>
      <c r="I568" s="890"/>
      <c r="J568" s="890"/>
      <c r="K568" s="891"/>
    </row>
    <row r="569" spans="1:11" x14ac:dyDescent="0.25">
      <c r="A569" s="889"/>
      <c r="B569" s="890"/>
      <c r="C569" s="890"/>
      <c r="D569" s="890"/>
      <c r="E569" s="890"/>
      <c r="F569" s="891"/>
      <c r="G569" s="889"/>
      <c r="H569" s="890"/>
      <c r="I569" s="890"/>
      <c r="J569" s="890"/>
      <c r="K569" s="891"/>
    </row>
    <row r="570" spans="1:11" ht="15.75" thickBot="1" x14ac:dyDescent="0.3">
      <c r="A570" s="889"/>
      <c r="B570" s="890"/>
      <c r="C570" s="890"/>
      <c r="D570" s="890"/>
      <c r="E570" s="890"/>
      <c r="F570" s="891"/>
      <c r="G570" s="889"/>
      <c r="H570" s="890"/>
      <c r="I570" s="890"/>
      <c r="J570" s="890"/>
      <c r="K570" s="891"/>
    </row>
    <row r="571" spans="1:11" ht="15" customHeight="1" x14ac:dyDescent="0.25">
      <c r="A571" s="1025" t="s">
        <v>1283</v>
      </c>
      <c r="B571" s="1026"/>
      <c r="C571" s="1026"/>
      <c r="D571" s="1026"/>
      <c r="E571" s="1026"/>
      <c r="F571" s="1027"/>
      <c r="G571" s="1025" t="s">
        <v>1284</v>
      </c>
      <c r="H571" s="1031"/>
      <c r="I571" s="1031"/>
      <c r="J571" s="1031"/>
      <c r="K571" s="1032"/>
    </row>
    <row r="572" spans="1:11" ht="15.75" thickBot="1" x14ac:dyDescent="0.3">
      <c r="A572" s="1028"/>
      <c r="B572" s="1029"/>
      <c r="C572" s="1029"/>
      <c r="D572" s="1029"/>
      <c r="E572" s="1029"/>
      <c r="F572" s="1030"/>
      <c r="G572" s="1033"/>
      <c r="H572" s="1034"/>
      <c r="I572" s="1034"/>
      <c r="J572" s="1034"/>
      <c r="K572" s="1035"/>
    </row>
    <row r="573" spans="1:11" x14ac:dyDescent="0.25">
      <c r="A573" s="904" t="s">
        <v>503</v>
      </c>
      <c r="B573" s="905"/>
      <c r="C573" s="905"/>
      <c r="D573" s="905"/>
      <c r="E573" s="905"/>
      <c r="F573" s="906"/>
      <c r="G573" s="904" t="s">
        <v>504</v>
      </c>
      <c r="H573" s="905"/>
      <c r="I573" s="905"/>
      <c r="J573" s="905"/>
      <c r="K573" s="906"/>
    </row>
    <row r="574" spans="1:11" x14ac:dyDescent="0.25">
      <c r="A574" s="889"/>
      <c r="B574" s="890"/>
      <c r="C574" s="890"/>
      <c r="D574" s="890"/>
      <c r="E574" s="890"/>
      <c r="F574" s="891"/>
      <c r="G574" s="889"/>
      <c r="H574" s="890"/>
      <c r="I574" s="890"/>
      <c r="J574" s="890"/>
      <c r="K574" s="891"/>
    </row>
    <row r="575" spans="1:11" x14ac:dyDescent="0.25">
      <c r="A575" s="889"/>
      <c r="B575" s="890"/>
      <c r="C575" s="890"/>
      <c r="D575" s="890"/>
      <c r="E575" s="890"/>
      <c r="F575" s="891"/>
      <c r="G575" s="889"/>
      <c r="H575" s="890"/>
      <c r="I575" s="890"/>
      <c r="J575" s="890"/>
      <c r="K575" s="891"/>
    </row>
    <row r="576" spans="1:11" x14ac:dyDescent="0.25">
      <c r="A576" s="889"/>
      <c r="B576" s="890"/>
      <c r="C576" s="890"/>
      <c r="D576" s="890"/>
      <c r="E576" s="890"/>
      <c r="F576" s="891"/>
      <c r="G576" s="889"/>
      <c r="H576" s="890"/>
      <c r="I576" s="890"/>
      <c r="J576" s="890"/>
      <c r="K576" s="891"/>
    </row>
    <row r="577" spans="1:11" x14ac:dyDescent="0.25">
      <c r="A577" s="889"/>
      <c r="B577" s="890"/>
      <c r="C577" s="890"/>
      <c r="D577" s="890"/>
      <c r="E577" s="890"/>
      <c r="F577" s="891"/>
      <c r="G577" s="889"/>
      <c r="H577" s="890"/>
      <c r="I577" s="890"/>
      <c r="J577" s="890"/>
      <c r="K577" s="891"/>
    </row>
    <row r="578" spans="1:11" x14ac:dyDescent="0.25">
      <c r="A578" s="889"/>
      <c r="B578" s="890"/>
      <c r="C578" s="890"/>
      <c r="D578" s="890"/>
      <c r="E578" s="890"/>
      <c r="F578" s="891"/>
      <c r="G578" s="889"/>
      <c r="H578" s="890"/>
      <c r="I578" s="890"/>
      <c r="J578" s="890"/>
      <c r="K578" s="891"/>
    </row>
    <row r="579" spans="1:11" x14ac:dyDescent="0.25">
      <c r="A579" s="889"/>
      <c r="B579" s="890"/>
      <c r="C579" s="890"/>
      <c r="D579" s="890"/>
      <c r="E579" s="890"/>
      <c r="F579" s="891"/>
      <c r="G579" s="889"/>
      <c r="H579" s="890"/>
      <c r="I579" s="890"/>
      <c r="J579" s="890"/>
      <c r="K579" s="891"/>
    </row>
    <row r="580" spans="1:11" x14ac:dyDescent="0.25">
      <c r="A580" s="889"/>
      <c r="B580" s="890"/>
      <c r="C580" s="890"/>
      <c r="D580" s="890"/>
      <c r="E580" s="890"/>
      <c r="F580" s="891"/>
      <c r="G580" s="889"/>
      <c r="H580" s="890"/>
      <c r="I580" s="890"/>
      <c r="J580" s="890"/>
      <c r="K580" s="891"/>
    </row>
    <row r="581" spans="1:11" x14ac:dyDescent="0.25">
      <c r="A581" s="889"/>
      <c r="B581" s="890"/>
      <c r="C581" s="890"/>
      <c r="D581" s="890"/>
      <c r="E581" s="890"/>
      <c r="F581" s="891"/>
      <c r="G581" s="889"/>
      <c r="H581" s="890"/>
      <c r="I581" s="890"/>
      <c r="J581" s="890"/>
      <c r="K581" s="891"/>
    </row>
    <row r="582" spans="1:11" x14ac:dyDescent="0.25">
      <c r="A582" s="889"/>
      <c r="B582" s="890"/>
      <c r="C582" s="890"/>
      <c r="D582" s="890"/>
      <c r="E582" s="890"/>
      <c r="F582" s="891"/>
      <c r="G582" s="889"/>
      <c r="H582" s="890"/>
      <c r="I582" s="890"/>
      <c r="J582" s="890"/>
      <c r="K582" s="891"/>
    </row>
    <row r="583" spans="1:11" x14ac:dyDescent="0.25">
      <c r="A583" s="889"/>
      <c r="B583" s="890"/>
      <c r="C583" s="890"/>
      <c r="D583" s="890"/>
      <c r="E583" s="890"/>
      <c r="F583" s="891"/>
      <c r="G583" s="889"/>
      <c r="H583" s="890"/>
      <c r="I583" s="890"/>
      <c r="J583" s="890"/>
      <c r="K583" s="891"/>
    </row>
    <row r="584" spans="1:11" x14ac:dyDescent="0.25">
      <c r="A584" s="889"/>
      <c r="B584" s="890"/>
      <c r="C584" s="890"/>
      <c r="D584" s="890"/>
      <c r="E584" s="890"/>
      <c r="F584" s="891"/>
      <c r="G584" s="889"/>
      <c r="H584" s="890"/>
      <c r="I584" s="890"/>
      <c r="J584" s="890"/>
      <c r="K584" s="891"/>
    </row>
    <row r="585" spans="1:11" x14ac:dyDescent="0.25">
      <c r="A585" s="889"/>
      <c r="B585" s="890"/>
      <c r="C585" s="890"/>
      <c r="D585" s="890"/>
      <c r="E585" s="890"/>
      <c r="F585" s="891"/>
      <c r="G585" s="889"/>
      <c r="H585" s="890"/>
      <c r="I585" s="890"/>
      <c r="J585" s="890"/>
      <c r="K585" s="891"/>
    </row>
    <row r="586" spans="1:11" ht="15.75" thickBot="1" x14ac:dyDescent="0.3">
      <c r="A586" s="889"/>
      <c r="B586" s="890"/>
      <c r="C586" s="890"/>
      <c r="D586" s="890"/>
      <c r="E586" s="890"/>
      <c r="F586" s="891"/>
      <c r="G586" s="889"/>
      <c r="H586" s="890"/>
      <c r="I586" s="890"/>
      <c r="J586" s="890"/>
      <c r="K586" s="891"/>
    </row>
    <row r="587" spans="1:11" ht="15" customHeight="1" x14ac:dyDescent="0.25">
      <c r="A587" s="1025" t="s">
        <v>1285</v>
      </c>
      <c r="B587" s="1026"/>
      <c r="C587" s="1026"/>
      <c r="D587" s="1026"/>
      <c r="E587" s="1026"/>
      <c r="F587" s="1027"/>
      <c r="G587" s="1025" t="s">
        <v>1286</v>
      </c>
      <c r="H587" s="1031"/>
      <c r="I587" s="1031"/>
      <c r="J587" s="1031"/>
      <c r="K587" s="1032"/>
    </row>
    <row r="588" spans="1:11" ht="15.75" thickBot="1" x14ac:dyDescent="0.3">
      <c r="A588" s="1028"/>
      <c r="B588" s="1029"/>
      <c r="C588" s="1029"/>
      <c r="D588" s="1029"/>
      <c r="E588" s="1029"/>
      <c r="F588" s="1030"/>
      <c r="G588" s="1033"/>
      <c r="H588" s="1034"/>
      <c r="I588" s="1034"/>
      <c r="J588" s="1034"/>
      <c r="K588" s="1035"/>
    </row>
    <row r="589" spans="1:11" x14ac:dyDescent="0.25">
      <c r="A589" s="904" t="s">
        <v>503</v>
      </c>
      <c r="B589" s="905"/>
      <c r="C589" s="905"/>
      <c r="D589" s="905"/>
      <c r="E589" s="905"/>
      <c r="F589" s="906"/>
      <c r="G589" s="904" t="s">
        <v>504</v>
      </c>
      <c r="H589" s="905"/>
      <c r="I589" s="905"/>
      <c r="J589" s="905"/>
      <c r="K589" s="906"/>
    </row>
    <row r="590" spans="1:11" x14ac:dyDescent="0.25">
      <c r="A590" s="889"/>
      <c r="B590" s="890"/>
      <c r="C590" s="890"/>
      <c r="D590" s="890"/>
      <c r="E590" s="890"/>
      <c r="F590" s="891"/>
      <c r="G590" s="889"/>
      <c r="H590" s="890"/>
      <c r="I590" s="890"/>
      <c r="J590" s="890"/>
      <c r="K590" s="891"/>
    </row>
    <row r="591" spans="1:11" x14ac:dyDescent="0.25">
      <c r="A591" s="889"/>
      <c r="B591" s="890"/>
      <c r="C591" s="890"/>
      <c r="D591" s="890"/>
      <c r="E591" s="890"/>
      <c r="F591" s="891"/>
      <c r="G591" s="889"/>
      <c r="H591" s="890"/>
      <c r="I591" s="890"/>
      <c r="J591" s="890"/>
      <c r="K591" s="891"/>
    </row>
    <row r="592" spans="1:11" x14ac:dyDescent="0.25">
      <c r="A592" s="889"/>
      <c r="B592" s="890"/>
      <c r="C592" s="890"/>
      <c r="D592" s="890"/>
      <c r="E592" s="890"/>
      <c r="F592" s="891"/>
      <c r="G592" s="889"/>
      <c r="H592" s="890"/>
      <c r="I592" s="890"/>
      <c r="J592" s="890"/>
      <c r="K592" s="891"/>
    </row>
    <row r="593" spans="1:11" x14ac:dyDescent="0.25">
      <c r="A593" s="889"/>
      <c r="B593" s="890"/>
      <c r="C593" s="890"/>
      <c r="D593" s="890"/>
      <c r="E593" s="890"/>
      <c r="F593" s="891"/>
      <c r="G593" s="889"/>
      <c r="H593" s="890"/>
      <c r="I593" s="890"/>
      <c r="J593" s="890"/>
      <c r="K593" s="891"/>
    </row>
    <row r="594" spans="1:11" x14ac:dyDescent="0.25">
      <c r="A594" s="889"/>
      <c r="B594" s="890"/>
      <c r="C594" s="890"/>
      <c r="D594" s="890"/>
      <c r="E594" s="890"/>
      <c r="F594" s="891"/>
      <c r="G594" s="889"/>
      <c r="H594" s="890"/>
      <c r="I594" s="890"/>
      <c r="J594" s="890"/>
      <c r="K594" s="891"/>
    </row>
    <row r="595" spans="1:11" x14ac:dyDescent="0.25">
      <c r="A595" s="889"/>
      <c r="B595" s="890"/>
      <c r="C595" s="890"/>
      <c r="D595" s="890"/>
      <c r="E595" s="890"/>
      <c r="F595" s="891"/>
      <c r="G595" s="889"/>
      <c r="H595" s="890"/>
      <c r="I595" s="890"/>
      <c r="J595" s="890"/>
      <c r="K595" s="891"/>
    </row>
    <row r="596" spans="1:11" x14ac:dyDescent="0.25">
      <c r="A596" s="889"/>
      <c r="B596" s="890"/>
      <c r="C596" s="890"/>
      <c r="D596" s="890"/>
      <c r="E596" s="890"/>
      <c r="F596" s="891"/>
      <c r="G596" s="889"/>
      <c r="H596" s="890"/>
      <c r="I596" s="890"/>
      <c r="J596" s="890"/>
      <c r="K596" s="891"/>
    </row>
    <row r="597" spans="1:11" x14ac:dyDescent="0.25">
      <c r="A597" s="889"/>
      <c r="B597" s="890"/>
      <c r="C597" s="890"/>
      <c r="D597" s="890"/>
      <c r="E597" s="890"/>
      <c r="F597" s="891"/>
      <c r="G597" s="889"/>
      <c r="H597" s="890"/>
      <c r="I597" s="890"/>
      <c r="J597" s="890"/>
      <c r="K597" s="891"/>
    </row>
    <row r="598" spans="1:11" x14ac:dyDescent="0.25">
      <c r="A598" s="889"/>
      <c r="B598" s="890"/>
      <c r="C598" s="890"/>
      <c r="D598" s="890"/>
      <c r="E598" s="890"/>
      <c r="F598" s="891"/>
      <c r="G598" s="889"/>
      <c r="H598" s="890"/>
      <c r="I598" s="890"/>
      <c r="J598" s="890"/>
      <c r="K598" s="891"/>
    </row>
    <row r="599" spans="1:11" x14ac:dyDescent="0.25">
      <c r="A599" s="889"/>
      <c r="B599" s="890"/>
      <c r="C599" s="890"/>
      <c r="D599" s="890"/>
      <c r="E599" s="890"/>
      <c r="F599" s="891"/>
      <c r="G599" s="889"/>
      <c r="H599" s="890"/>
      <c r="I599" s="890"/>
      <c r="J599" s="890"/>
      <c r="K599" s="891"/>
    </row>
    <row r="600" spans="1:11" x14ac:dyDescent="0.25">
      <c r="A600" s="889"/>
      <c r="B600" s="890"/>
      <c r="C600" s="890"/>
      <c r="D600" s="890"/>
      <c r="E600" s="890"/>
      <c r="F600" s="891"/>
      <c r="G600" s="889"/>
      <c r="H600" s="890"/>
      <c r="I600" s="890"/>
      <c r="J600" s="890"/>
      <c r="K600" s="891"/>
    </row>
    <row r="601" spans="1:11" x14ac:dyDescent="0.25">
      <c r="A601" s="889"/>
      <c r="B601" s="890"/>
      <c r="C601" s="890"/>
      <c r="D601" s="890"/>
      <c r="E601" s="890"/>
      <c r="F601" s="891"/>
      <c r="G601" s="889"/>
      <c r="H601" s="890"/>
      <c r="I601" s="890"/>
      <c r="J601" s="890"/>
      <c r="K601" s="891"/>
    </row>
    <row r="602" spans="1:11" ht="15.75" thickBot="1" x14ac:dyDescent="0.3">
      <c r="A602" s="889"/>
      <c r="B602" s="890"/>
      <c r="C602" s="890"/>
      <c r="D602" s="890"/>
      <c r="E602" s="890"/>
      <c r="F602" s="891"/>
      <c r="G602" s="889"/>
      <c r="H602" s="890"/>
      <c r="I602" s="890"/>
      <c r="J602" s="890"/>
      <c r="K602" s="891"/>
    </row>
    <row r="603" spans="1:11" ht="15" customHeight="1" x14ac:dyDescent="0.25">
      <c r="A603" s="1025" t="s">
        <v>1287</v>
      </c>
      <c r="B603" s="1026"/>
      <c r="C603" s="1026"/>
      <c r="D603" s="1026"/>
      <c r="E603" s="1026"/>
      <c r="F603" s="1027"/>
      <c r="G603" s="1025" t="s">
        <v>1287</v>
      </c>
      <c r="H603" s="1031"/>
      <c r="I603" s="1031"/>
      <c r="J603" s="1031"/>
      <c r="K603" s="1032"/>
    </row>
    <row r="604" spans="1:11" ht="15.75" thickBot="1" x14ac:dyDescent="0.3">
      <c r="A604" s="1028"/>
      <c r="B604" s="1029"/>
      <c r="C604" s="1029"/>
      <c r="D604" s="1029"/>
      <c r="E604" s="1029"/>
      <c r="F604" s="1030"/>
      <c r="G604" s="1033"/>
      <c r="H604" s="1034"/>
      <c r="I604" s="1034"/>
      <c r="J604" s="1034"/>
      <c r="K604" s="1035"/>
    </row>
    <row r="605" spans="1:11" x14ac:dyDescent="0.25">
      <c r="A605" s="904" t="s">
        <v>503</v>
      </c>
      <c r="B605" s="905"/>
      <c r="C605" s="905"/>
      <c r="D605" s="905"/>
      <c r="E605" s="905"/>
      <c r="F605" s="906"/>
      <c r="G605" s="904" t="s">
        <v>504</v>
      </c>
      <c r="H605" s="905"/>
      <c r="I605" s="905"/>
      <c r="J605" s="905"/>
      <c r="K605" s="906"/>
    </row>
    <row r="606" spans="1:11" x14ac:dyDescent="0.25">
      <c r="A606" s="889"/>
      <c r="B606" s="890"/>
      <c r="C606" s="890"/>
      <c r="D606" s="890"/>
      <c r="E606" s="890"/>
      <c r="F606" s="891"/>
      <c r="G606" s="889"/>
      <c r="H606" s="890"/>
      <c r="I606" s="890"/>
      <c r="J606" s="890"/>
      <c r="K606" s="891"/>
    </row>
    <row r="607" spans="1:11" x14ac:dyDescent="0.25">
      <c r="A607" s="889"/>
      <c r="B607" s="890"/>
      <c r="C607" s="890"/>
      <c r="D607" s="890"/>
      <c r="E607" s="890"/>
      <c r="F607" s="891"/>
      <c r="G607" s="889"/>
      <c r="H607" s="890"/>
      <c r="I607" s="890"/>
      <c r="J607" s="890"/>
      <c r="K607" s="891"/>
    </row>
    <row r="608" spans="1:11" x14ac:dyDescent="0.25">
      <c r="A608" s="889"/>
      <c r="B608" s="890"/>
      <c r="C608" s="890"/>
      <c r="D608" s="890"/>
      <c r="E608" s="890"/>
      <c r="F608" s="891"/>
      <c r="G608" s="889"/>
      <c r="H608" s="890"/>
      <c r="I608" s="890"/>
      <c r="J608" s="890"/>
      <c r="K608" s="891"/>
    </row>
    <row r="609" spans="1:11" x14ac:dyDescent="0.25">
      <c r="A609" s="889"/>
      <c r="B609" s="890"/>
      <c r="C609" s="890"/>
      <c r="D609" s="890"/>
      <c r="E609" s="890"/>
      <c r="F609" s="891"/>
      <c r="G609" s="889"/>
      <c r="H609" s="890"/>
      <c r="I609" s="890"/>
      <c r="J609" s="890"/>
      <c r="K609" s="891"/>
    </row>
    <row r="610" spans="1:11" x14ac:dyDescent="0.25">
      <c r="A610" s="889"/>
      <c r="B610" s="890"/>
      <c r="C610" s="890"/>
      <c r="D610" s="890"/>
      <c r="E610" s="890"/>
      <c r="F610" s="891"/>
      <c r="G610" s="889"/>
      <c r="H610" s="890"/>
      <c r="I610" s="890"/>
      <c r="J610" s="890"/>
      <c r="K610" s="891"/>
    </row>
    <row r="611" spans="1:11" x14ac:dyDescent="0.25">
      <c r="A611" s="889"/>
      <c r="B611" s="890"/>
      <c r="C611" s="890"/>
      <c r="D611" s="890"/>
      <c r="E611" s="890"/>
      <c r="F611" s="891"/>
      <c r="G611" s="889"/>
      <c r="H611" s="890"/>
      <c r="I611" s="890"/>
      <c r="J611" s="890"/>
      <c r="K611" s="891"/>
    </row>
    <row r="612" spans="1:11" x14ac:dyDescent="0.25">
      <c r="A612" s="889"/>
      <c r="B612" s="890"/>
      <c r="C612" s="890"/>
      <c r="D612" s="890"/>
      <c r="E612" s="890"/>
      <c r="F612" s="891"/>
      <c r="G612" s="889"/>
      <c r="H612" s="890"/>
      <c r="I612" s="890"/>
      <c r="J612" s="890"/>
      <c r="K612" s="891"/>
    </row>
    <row r="613" spans="1:11" x14ac:dyDescent="0.25">
      <c r="A613" s="889"/>
      <c r="B613" s="890"/>
      <c r="C613" s="890"/>
      <c r="D613" s="890"/>
      <c r="E613" s="890"/>
      <c r="F613" s="891"/>
      <c r="G613" s="889"/>
      <c r="H613" s="890"/>
      <c r="I613" s="890"/>
      <c r="J613" s="890"/>
      <c r="K613" s="891"/>
    </row>
    <row r="614" spans="1:11" x14ac:dyDescent="0.25">
      <c r="A614" s="889"/>
      <c r="B614" s="890"/>
      <c r="C614" s="890"/>
      <c r="D614" s="890"/>
      <c r="E614" s="890"/>
      <c r="F614" s="891"/>
      <c r="G614" s="889"/>
      <c r="H614" s="890"/>
      <c r="I614" s="890"/>
      <c r="J614" s="890"/>
      <c r="K614" s="891"/>
    </row>
    <row r="615" spans="1:11" x14ac:dyDescent="0.25">
      <c r="A615" s="889"/>
      <c r="B615" s="890"/>
      <c r="C615" s="890"/>
      <c r="D615" s="890"/>
      <c r="E615" s="890"/>
      <c r="F615" s="891"/>
      <c r="G615" s="889"/>
      <c r="H615" s="890"/>
      <c r="I615" s="890"/>
      <c r="J615" s="890"/>
      <c r="K615" s="891"/>
    </row>
    <row r="616" spans="1:11" x14ac:dyDescent="0.25">
      <c r="A616" s="889"/>
      <c r="B616" s="890"/>
      <c r="C616" s="890"/>
      <c r="D616" s="890"/>
      <c r="E616" s="890"/>
      <c r="F616" s="891"/>
      <c r="G616" s="889"/>
      <c r="H616" s="890"/>
      <c r="I616" s="890"/>
      <c r="J616" s="890"/>
      <c r="K616" s="891"/>
    </row>
    <row r="617" spans="1:11" x14ac:dyDescent="0.25">
      <c r="A617" s="889"/>
      <c r="B617" s="890"/>
      <c r="C617" s="890"/>
      <c r="D617" s="890"/>
      <c r="E617" s="890"/>
      <c r="F617" s="891"/>
      <c r="G617" s="889"/>
      <c r="H617" s="890"/>
      <c r="I617" s="890"/>
      <c r="J617" s="890"/>
      <c r="K617" s="891"/>
    </row>
    <row r="618" spans="1:11" ht="15.75" thickBot="1" x14ac:dyDescent="0.3">
      <c r="A618" s="889"/>
      <c r="B618" s="890"/>
      <c r="C618" s="890"/>
      <c r="D618" s="890"/>
      <c r="E618" s="890"/>
      <c r="F618" s="891"/>
      <c r="G618" s="889"/>
      <c r="H618" s="890"/>
      <c r="I618" s="890"/>
      <c r="J618" s="890"/>
      <c r="K618" s="891"/>
    </row>
    <row r="619" spans="1:11" ht="15" customHeight="1" x14ac:dyDescent="0.25">
      <c r="A619" s="1025" t="s">
        <v>1288</v>
      </c>
      <c r="B619" s="1026"/>
      <c r="C619" s="1026"/>
      <c r="D619" s="1026"/>
      <c r="E619" s="1026"/>
      <c r="F619" s="1027"/>
      <c r="G619" s="1025" t="s">
        <v>1289</v>
      </c>
      <c r="H619" s="1031"/>
      <c r="I619" s="1031"/>
      <c r="J619" s="1031"/>
      <c r="K619" s="1032"/>
    </row>
    <row r="620" spans="1:11" ht="15.75" thickBot="1" x14ac:dyDescent="0.3">
      <c r="A620" s="1028"/>
      <c r="B620" s="1029"/>
      <c r="C620" s="1029"/>
      <c r="D620" s="1029"/>
      <c r="E620" s="1029"/>
      <c r="F620" s="1030"/>
      <c r="G620" s="1033"/>
      <c r="H620" s="1034"/>
      <c r="I620" s="1034"/>
      <c r="J620" s="1034"/>
      <c r="K620" s="1035"/>
    </row>
  </sheetData>
  <mergeCells count="161">
    <mergeCell ref="A1:K2"/>
    <mergeCell ref="A3:D3"/>
    <mergeCell ref="F3:H3"/>
    <mergeCell ref="I3:K3"/>
    <mergeCell ref="A4:G5"/>
    <mergeCell ref="J4:K4"/>
    <mergeCell ref="J5:K5"/>
    <mergeCell ref="A36:F37"/>
    <mergeCell ref="G36:K37"/>
    <mergeCell ref="A38:F51"/>
    <mergeCell ref="G38:K51"/>
    <mergeCell ref="A52:F53"/>
    <mergeCell ref="G52:K53"/>
    <mergeCell ref="A6:F19"/>
    <mergeCell ref="G6:K19"/>
    <mergeCell ref="A20:F21"/>
    <mergeCell ref="G20:K21"/>
    <mergeCell ref="A22:F35"/>
    <mergeCell ref="G22:K35"/>
    <mergeCell ref="A84:F85"/>
    <mergeCell ref="G84:K85"/>
    <mergeCell ref="A86:F99"/>
    <mergeCell ref="G86:K99"/>
    <mergeCell ref="A100:F101"/>
    <mergeCell ref="G100:K101"/>
    <mergeCell ref="A54:F67"/>
    <mergeCell ref="G54:K67"/>
    <mergeCell ref="A68:F69"/>
    <mergeCell ref="G68:K69"/>
    <mergeCell ref="A70:F83"/>
    <mergeCell ref="G70:K83"/>
    <mergeCell ref="A132:F133"/>
    <mergeCell ref="G132:K133"/>
    <mergeCell ref="A134:F147"/>
    <mergeCell ref="G134:K147"/>
    <mergeCell ref="A148:F149"/>
    <mergeCell ref="G148:K149"/>
    <mergeCell ref="A102:F115"/>
    <mergeCell ref="G102:K115"/>
    <mergeCell ref="A116:F117"/>
    <mergeCell ref="G116:K117"/>
    <mergeCell ref="A118:F131"/>
    <mergeCell ref="G118:K131"/>
    <mergeCell ref="A167:F180"/>
    <mergeCell ref="G167:K180"/>
    <mergeCell ref="A181:F182"/>
    <mergeCell ref="G181:K182"/>
    <mergeCell ref="A183:F196"/>
    <mergeCell ref="G183:K196"/>
    <mergeCell ref="A150:F163"/>
    <mergeCell ref="G150:K163"/>
    <mergeCell ref="A164:F165"/>
    <mergeCell ref="G164:K165"/>
    <mergeCell ref="A166:F166"/>
    <mergeCell ref="G166:K166"/>
    <mergeCell ref="A215:F228"/>
    <mergeCell ref="G215:K228"/>
    <mergeCell ref="A229:F230"/>
    <mergeCell ref="G229:K230"/>
    <mergeCell ref="A231:F244"/>
    <mergeCell ref="G231:K244"/>
    <mergeCell ref="A197:F198"/>
    <mergeCell ref="G197:K198"/>
    <mergeCell ref="A199:F212"/>
    <mergeCell ref="G199:K212"/>
    <mergeCell ref="A213:F214"/>
    <mergeCell ref="G213:K214"/>
    <mergeCell ref="A276:F290"/>
    <mergeCell ref="G276:K290"/>
    <mergeCell ref="A291:F292"/>
    <mergeCell ref="G291:K292"/>
    <mergeCell ref="A293:F307"/>
    <mergeCell ref="G293:K307"/>
    <mergeCell ref="A245:F246"/>
    <mergeCell ref="G245:K246"/>
    <mergeCell ref="A260:F273"/>
    <mergeCell ref="G260:K273"/>
    <mergeCell ref="A274:F275"/>
    <mergeCell ref="G274:K275"/>
    <mergeCell ref="A327:F340"/>
    <mergeCell ref="G327:K340"/>
    <mergeCell ref="A341:F342"/>
    <mergeCell ref="G341:K342"/>
    <mergeCell ref="A343:F356"/>
    <mergeCell ref="G343:K356"/>
    <mergeCell ref="A308:F309"/>
    <mergeCell ref="G308:K309"/>
    <mergeCell ref="A310:F324"/>
    <mergeCell ref="G310:K324"/>
    <mergeCell ref="A325:F326"/>
    <mergeCell ref="G325:K326"/>
    <mergeCell ref="A375:F388"/>
    <mergeCell ref="G375:K388"/>
    <mergeCell ref="A389:F390"/>
    <mergeCell ref="G389:K390"/>
    <mergeCell ref="A391:F404"/>
    <mergeCell ref="G391:K404"/>
    <mergeCell ref="A357:F358"/>
    <mergeCell ref="G357:K358"/>
    <mergeCell ref="A359:F372"/>
    <mergeCell ref="G359:K372"/>
    <mergeCell ref="A373:F374"/>
    <mergeCell ref="G373:K374"/>
    <mergeCell ref="A423:F436"/>
    <mergeCell ref="G423:K436"/>
    <mergeCell ref="A437:F438"/>
    <mergeCell ref="G437:K438"/>
    <mergeCell ref="A439:F452"/>
    <mergeCell ref="G439:K452"/>
    <mergeCell ref="A405:F406"/>
    <mergeCell ref="G405:K406"/>
    <mergeCell ref="A407:F420"/>
    <mergeCell ref="G407:K420"/>
    <mergeCell ref="A421:F422"/>
    <mergeCell ref="G421:K422"/>
    <mergeCell ref="A471:F474"/>
    <mergeCell ref="G471:K474"/>
    <mergeCell ref="A475:F476"/>
    <mergeCell ref="G475:K476"/>
    <mergeCell ref="A477:F490"/>
    <mergeCell ref="G477:K490"/>
    <mergeCell ref="A453:F454"/>
    <mergeCell ref="G453:K454"/>
    <mergeCell ref="A455:F468"/>
    <mergeCell ref="G455:K468"/>
    <mergeCell ref="A469:F470"/>
    <mergeCell ref="G469:K470"/>
    <mergeCell ref="A509:F522"/>
    <mergeCell ref="G509:K522"/>
    <mergeCell ref="A523:F524"/>
    <mergeCell ref="G523:K524"/>
    <mergeCell ref="A525:F538"/>
    <mergeCell ref="G525:K538"/>
    <mergeCell ref="A491:F492"/>
    <mergeCell ref="G491:K492"/>
    <mergeCell ref="A493:F506"/>
    <mergeCell ref="G493:K506"/>
    <mergeCell ref="A507:F508"/>
    <mergeCell ref="G507:K508"/>
    <mergeCell ref="A557:F570"/>
    <mergeCell ref="G557:K570"/>
    <mergeCell ref="A571:F572"/>
    <mergeCell ref="G571:K572"/>
    <mergeCell ref="A573:F586"/>
    <mergeCell ref="G573:K586"/>
    <mergeCell ref="A539:F540"/>
    <mergeCell ref="G539:K540"/>
    <mergeCell ref="A541:F554"/>
    <mergeCell ref="G541:K554"/>
    <mergeCell ref="A555:F556"/>
    <mergeCell ref="G555:K556"/>
    <mergeCell ref="A605:F618"/>
    <mergeCell ref="G605:K618"/>
    <mergeCell ref="A619:F620"/>
    <mergeCell ref="G619:K620"/>
    <mergeCell ref="A587:F588"/>
    <mergeCell ref="G587:K588"/>
    <mergeCell ref="A589:F602"/>
    <mergeCell ref="G589:K602"/>
    <mergeCell ref="A603:F604"/>
    <mergeCell ref="G603:K604"/>
  </mergeCells>
  <pageMargins left="0.7" right="0.7" top="0.75" bottom="0.75" header="0.3" footer="0.3"/>
  <pageSetup paperSize="9"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1:L101"/>
  <sheetViews>
    <sheetView zoomScale="85" zoomScaleNormal="85" zoomScaleSheetLayoutView="100" zoomScalePageLayoutView="90" workbookViewId="0">
      <selection activeCell="M102" sqref="M102"/>
    </sheetView>
  </sheetViews>
  <sheetFormatPr baseColWidth="10" defaultColWidth="11.42578125" defaultRowHeight="15" x14ac:dyDescent="0.25"/>
  <cols>
    <col min="1" max="1" width="3.7109375" style="130" customWidth="1"/>
    <col min="2" max="2" width="4.7109375" style="130" customWidth="1"/>
    <col min="3" max="3" width="8.28515625" style="130" customWidth="1"/>
    <col min="4" max="4" width="8" style="130" customWidth="1"/>
    <col min="5" max="5" width="11.42578125" style="130"/>
    <col min="6" max="6" width="12" style="130" customWidth="1"/>
    <col min="7" max="7" width="8.42578125" style="130" customWidth="1"/>
    <col min="8" max="8" width="8.5703125" style="130" customWidth="1"/>
    <col min="9" max="9" width="20.28515625" style="130" customWidth="1"/>
    <col min="10" max="10" width="9.140625" style="130" customWidth="1"/>
    <col min="11" max="11" width="6.28515625" style="130" customWidth="1"/>
    <col min="12" max="12" width="8.85546875" style="130" customWidth="1"/>
    <col min="13" max="13" width="11.42578125" style="130" customWidth="1"/>
    <col min="14" max="16384" width="11.42578125" style="130"/>
  </cols>
  <sheetData>
    <row r="1" spans="2:12" ht="27.75" customHeight="1" x14ac:dyDescent="0.25">
      <c r="B1" s="981" t="s">
        <v>251</v>
      </c>
      <c r="C1" s="874"/>
      <c r="D1" s="874"/>
      <c r="E1" s="874"/>
      <c r="F1" s="874"/>
      <c r="G1" s="874"/>
      <c r="H1" s="874"/>
      <c r="I1" s="874"/>
      <c r="J1" s="874"/>
      <c r="K1" s="874"/>
      <c r="L1" s="929"/>
    </row>
    <row r="2" spans="2:12" ht="11.25" customHeight="1" x14ac:dyDescent="0.25">
      <c r="B2" s="982"/>
      <c r="C2" s="875"/>
      <c r="D2" s="875"/>
      <c r="E2" s="875"/>
      <c r="F2" s="875"/>
      <c r="G2" s="875"/>
      <c r="H2" s="875"/>
      <c r="I2" s="875"/>
      <c r="J2" s="875"/>
      <c r="K2" s="875"/>
      <c r="L2" s="931"/>
    </row>
    <row r="3" spans="2:12" ht="24.95" customHeight="1" x14ac:dyDescent="0.25">
      <c r="B3" s="1055" t="s">
        <v>289</v>
      </c>
      <c r="C3" s="932"/>
      <c r="D3" s="932"/>
      <c r="E3" s="933"/>
      <c r="F3" s="97">
        <v>44244</v>
      </c>
      <c r="G3" s="934" t="s">
        <v>290</v>
      </c>
      <c r="H3" s="932"/>
      <c r="I3" s="933"/>
      <c r="J3" s="935">
        <v>44250</v>
      </c>
      <c r="K3" s="932"/>
      <c r="L3" s="1056"/>
    </row>
    <row r="4" spans="2:12" x14ac:dyDescent="0.25">
      <c r="B4" s="985" t="s">
        <v>250</v>
      </c>
      <c r="C4" s="936"/>
      <c r="D4" s="936"/>
      <c r="E4" s="936"/>
      <c r="F4" s="936"/>
      <c r="G4" s="936"/>
      <c r="H4" s="937"/>
      <c r="I4" s="367" t="s">
        <v>489</v>
      </c>
      <c r="J4" s="367" t="s">
        <v>2</v>
      </c>
      <c r="K4" s="1057" t="s">
        <v>0</v>
      </c>
      <c r="L4" s="1058"/>
    </row>
    <row r="5" spans="2:12" x14ac:dyDescent="0.25">
      <c r="B5" s="1042"/>
      <c r="C5" s="938"/>
      <c r="D5" s="938"/>
      <c r="E5" s="938"/>
      <c r="F5" s="938"/>
      <c r="G5" s="938"/>
      <c r="H5" s="939"/>
      <c r="I5" s="292" t="s">
        <v>490</v>
      </c>
      <c r="J5" s="367">
        <v>2</v>
      </c>
      <c r="K5" s="1057" t="s">
        <v>291</v>
      </c>
      <c r="L5" s="1058"/>
    </row>
    <row r="6" spans="2:12" ht="15.75" customHeight="1" x14ac:dyDescent="0.25">
      <c r="B6" s="889" t="s">
        <v>452</v>
      </c>
      <c r="C6" s="890"/>
      <c r="D6" s="890"/>
      <c r="E6" s="890"/>
      <c r="F6" s="890"/>
      <c r="G6" s="891"/>
      <c r="H6" s="889" t="s">
        <v>453</v>
      </c>
      <c r="I6" s="890"/>
      <c r="J6" s="890"/>
      <c r="K6" s="890"/>
      <c r="L6" s="891"/>
    </row>
    <row r="7" spans="2:12" x14ac:dyDescent="0.25">
      <c r="B7" s="889"/>
      <c r="C7" s="890"/>
      <c r="D7" s="890"/>
      <c r="E7" s="890"/>
      <c r="F7" s="890"/>
      <c r="G7" s="891"/>
      <c r="H7" s="889"/>
      <c r="I7" s="890"/>
      <c r="J7" s="890"/>
      <c r="K7" s="890"/>
      <c r="L7" s="891"/>
    </row>
    <row r="8" spans="2:12" x14ac:dyDescent="0.25">
      <c r="B8" s="889"/>
      <c r="C8" s="890"/>
      <c r="D8" s="890"/>
      <c r="E8" s="890"/>
      <c r="F8" s="890"/>
      <c r="G8" s="891"/>
      <c r="H8" s="889"/>
      <c r="I8" s="890"/>
      <c r="J8" s="890"/>
      <c r="K8" s="890"/>
      <c r="L8" s="891"/>
    </row>
    <row r="9" spans="2:12" x14ac:dyDescent="0.25">
      <c r="B9" s="889"/>
      <c r="C9" s="890"/>
      <c r="D9" s="890"/>
      <c r="E9" s="890"/>
      <c r="F9" s="890"/>
      <c r="G9" s="891"/>
      <c r="H9" s="889"/>
      <c r="I9" s="890"/>
      <c r="J9" s="890"/>
      <c r="K9" s="890"/>
      <c r="L9" s="891"/>
    </row>
    <row r="10" spans="2:12" x14ac:dyDescent="0.25">
      <c r="B10" s="889"/>
      <c r="C10" s="890"/>
      <c r="D10" s="890"/>
      <c r="E10" s="890"/>
      <c r="F10" s="890"/>
      <c r="G10" s="891"/>
      <c r="H10" s="889"/>
      <c r="I10" s="890"/>
      <c r="J10" s="890"/>
      <c r="K10" s="890"/>
      <c r="L10" s="891"/>
    </row>
    <row r="11" spans="2:12" x14ac:dyDescent="0.25">
      <c r="B11" s="889"/>
      <c r="C11" s="890"/>
      <c r="D11" s="890"/>
      <c r="E11" s="890"/>
      <c r="F11" s="890"/>
      <c r="G11" s="891"/>
      <c r="H11" s="889"/>
      <c r="I11" s="890"/>
      <c r="J11" s="890"/>
      <c r="K11" s="890"/>
      <c r="L11" s="891"/>
    </row>
    <row r="12" spans="2:12" x14ac:dyDescent="0.25">
      <c r="B12" s="889"/>
      <c r="C12" s="890"/>
      <c r="D12" s="890"/>
      <c r="E12" s="890"/>
      <c r="F12" s="890"/>
      <c r="G12" s="891"/>
      <c r="H12" s="889"/>
      <c r="I12" s="890"/>
      <c r="J12" s="890"/>
      <c r="K12" s="890"/>
      <c r="L12" s="891"/>
    </row>
    <row r="13" spans="2:12" x14ac:dyDescent="0.25">
      <c r="B13" s="889"/>
      <c r="C13" s="890"/>
      <c r="D13" s="890"/>
      <c r="E13" s="890"/>
      <c r="F13" s="890"/>
      <c r="G13" s="891"/>
      <c r="H13" s="889"/>
      <c r="I13" s="890"/>
      <c r="J13" s="890"/>
      <c r="K13" s="890"/>
      <c r="L13" s="891"/>
    </row>
    <row r="14" spans="2:12" x14ac:dyDescent="0.25">
      <c r="B14" s="889"/>
      <c r="C14" s="890"/>
      <c r="D14" s="890"/>
      <c r="E14" s="890"/>
      <c r="F14" s="890"/>
      <c r="G14" s="891"/>
      <c r="H14" s="889"/>
      <c r="I14" s="890"/>
      <c r="J14" s="890"/>
      <c r="K14" s="890"/>
      <c r="L14" s="891"/>
    </row>
    <row r="15" spans="2:12" x14ac:dyDescent="0.25">
      <c r="B15" s="889"/>
      <c r="C15" s="890"/>
      <c r="D15" s="890"/>
      <c r="E15" s="890"/>
      <c r="F15" s="890"/>
      <c r="G15" s="891"/>
      <c r="H15" s="889"/>
      <c r="I15" s="890"/>
      <c r="J15" s="890"/>
      <c r="K15" s="890"/>
      <c r="L15" s="891"/>
    </row>
    <row r="16" spans="2:12" x14ac:dyDescent="0.25">
      <c r="B16" s="889"/>
      <c r="C16" s="890"/>
      <c r="D16" s="890"/>
      <c r="E16" s="890"/>
      <c r="F16" s="890"/>
      <c r="G16" s="891"/>
      <c r="H16" s="889"/>
      <c r="I16" s="890"/>
      <c r="J16" s="890"/>
      <c r="K16" s="890"/>
      <c r="L16" s="891"/>
    </row>
    <row r="17" spans="2:12" x14ac:dyDescent="0.25">
      <c r="B17" s="889"/>
      <c r="C17" s="890"/>
      <c r="D17" s="890"/>
      <c r="E17" s="890"/>
      <c r="F17" s="890"/>
      <c r="G17" s="891"/>
      <c r="H17" s="889"/>
      <c r="I17" s="890"/>
      <c r="J17" s="890"/>
      <c r="K17" s="890"/>
      <c r="L17" s="891"/>
    </row>
    <row r="18" spans="2:12" x14ac:dyDescent="0.25">
      <c r="B18" s="889"/>
      <c r="C18" s="890"/>
      <c r="D18" s="890"/>
      <c r="E18" s="890"/>
      <c r="F18" s="890"/>
      <c r="G18" s="891"/>
      <c r="H18" s="889"/>
      <c r="I18" s="890"/>
      <c r="J18" s="890"/>
      <c r="K18" s="890"/>
      <c r="L18" s="891"/>
    </row>
    <row r="19" spans="2:12" ht="15.75" thickBot="1" x14ac:dyDescent="0.3">
      <c r="B19" s="889"/>
      <c r="C19" s="890"/>
      <c r="D19" s="890"/>
      <c r="E19" s="890"/>
      <c r="F19" s="890"/>
      <c r="G19" s="891"/>
      <c r="H19" s="889"/>
      <c r="I19" s="890"/>
      <c r="J19" s="890"/>
      <c r="K19" s="890"/>
      <c r="L19" s="891"/>
    </row>
    <row r="20" spans="2:12" ht="15" customHeight="1" x14ac:dyDescent="0.25">
      <c r="B20" s="1043" t="s">
        <v>1057</v>
      </c>
      <c r="C20" s="1044"/>
      <c r="D20" s="1044"/>
      <c r="E20" s="1044"/>
      <c r="F20" s="1044"/>
      <c r="G20" s="1045"/>
      <c r="H20" s="1043" t="s">
        <v>1410</v>
      </c>
      <c r="I20" s="1044"/>
      <c r="J20" s="1044"/>
      <c r="K20" s="1044"/>
      <c r="L20" s="1045"/>
    </row>
    <row r="21" spans="2:12" ht="18" customHeight="1" thickBot="1" x14ac:dyDescent="0.3">
      <c r="B21" s="1046"/>
      <c r="C21" s="1047"/>
      <c r="D21" s="1047"/>
      <c r="E21" s="1047"/>
      <c r="F21" s="1047"/>
      <c r="G21" s="1048"/>
      <c r="H21" s="1046"/>
      <c r="I21" s="1047"/>
      <c r="J21" s="1047"/>
      <c r="K21" s="1047"/>
      <c r="L21" s="1048"/>
    </row>
    <row r="22" spans="2:12" ht="15.75" customHeight="1" x14ac:dyDescent="0.25">
      <c r="B22" s="904" t="s">
        <v>501</v>
      </c>
      <c r="C22" s="905"/>
      <c r="D22" s="905"/>
      <c r="E22" s="905"/>
      <c r="F22" s="905"/>
      <c r="G22" s="906"/>
      <c r="H22" s="904" t="s">
        <v>502</v>
      </c>
      <c r="I22" s="905"/>
      <c r="J22" s="905"/>
      <c r="K22" s="905"/>
      <c r="L22" s="906"/>
    </row>
    <row r="23" spans="2:12" x14ac:dyDescent="0.25">
      <c r="B23" s="889"/>
      <c r="C23" s="890"/>
      <c r="D23" s="890"/>
      <c r="E23" s="890"/>
      <c r="F23" s="890"/>
      <c r="G23" s="891"/>
      <c r="H23" s="889"/>
      <c r="I23" s="890"/>
      <c r="J23" s="890"/>
      <c r="K23" s="890"/>
      <c r="L23" s="891"/>
    </row>
    <row r="24" spans="2:12" x14ac:dyDescent="0.25">
      <c r="B24" s="889"/>
      <c r="C24" s="890"/>
      <c r="D24" s="890"/>
      <c r="E24" s="890"/>
      <c r="F24" s="890"/>
      <c r="G24" s="891"/>
      <c r="H24" s="889"/>
      <c r="I24" s="890"/>
      <c r="J24" s="890"/>
      <c r="K24" s="890"/>
      <c r="L24" s="891"/>
    </row>
    <row r="25" spans="2:12" x14ac:dyDescent="0.25">
      <c r="B25" s="889"/>
      <c r="C25" s="890"/>
      <c r="D25" s="890"/>
      <c r="E25" s="890"/>
      <c r="F25" s="890"/>
      <c r="G25" s="891"/>
      <c r="H25" s="889"/>
      <c r="I25" s="890"/>
      <c r="J25" s="890"/>
      <c r="K25" s="890"/>
      <c r="L25" s="891"/>
    </row>
    <row r="26" spans="2:12" x14ac:dyDescent="0.25">
      <c r="B26" s="889"/>
      <c r="C26" s="890"/>
      <c r="D26" s="890"/>
      <c r="E26" s="890"/>
      <c r="F26" s="890"/>
      <c r="G26" s="891"/>
      <c r="H26" s="889"/>
      <c r="I26" s="890"/>
      <c r="J26" s="890"/>
      <c r="K26" s="890"/>
      <c r="L26" s="891"/>
    </row>
    <row r="27" spans="2:12" x14ac:dyDescent="0.25">
      <c r="B27" s="889"/>
      <c r="C27" s="890"/>
      <c r="D27" s="890"/>
      <c r="E27" s="890"/>
      <c r="F27" s="890"/>
      <c r="G27" s="891"/>
      <c r="H27" s="889"/>
      <c r="I27" s="890"/>
      <c r="J27" s="890"/>
      <c r="K27" s="890"/>
      <c r="L27" s="891"/>
    </row>
    <row r="28" spans="2:12" x14ac:dyDescent="0.25">
      <c r="B28" s="889"/>
      <c r="C28" s="890"/>
      <c r="D28" s="890"/>
      <c r="E28" s="890"/>
      <c r="F28" s="890"/>
      <c r="G28" s="891"/>
      <c r="H28" s="889"/>
      <c r="I28" s="890"/>
      <c r="J28" s="890"/>
      <c r="K28" s="890"/>
      <c r="L28" s="891"/>
    </row>
    <row r="29" spans="2:12" x14ac:dyDescent="0.25">
      <c r="B29" s="889"/>
      <c r="C29" s="890"/>
      <c r="D29" s="890"/>
      <c r="E29" s="890"/>
      <c r="F29" s="890"/>
      <c r="G29" s="891"/>
      <c r="H29" s="889"/>
      <c r="I29" s="890"/>
      <c r="J29" s="890"/>
      <c r="K29" s="890"/>
      <c r="L29" s="891"/>
    </row>
    <row r="30" spans="2:12" x14ac:dyDescent="0.25">
      <c r="B30" s="889"/>
      <c r="C30" s="890"/>
      <c r="D30" s="890"/>
      <c r="E30" s="890"/>
      <c r="F30" s="890"/>
      <c r="G30" s="891"/>
      <c r="H30" s="889"/>
      <c r="I30" s="890"/>
      <c r="J30" s="890"/>
      <c r="K30" s="890"/>
      <c r="L30" s="891"/>
    </row>
    <row r="31" spans="2:12" x14ac:dyDescent="0.25">
      <c r="B31" s="889"/>
      <c r="C31" s="890"/>
      <c r="D31" s="890"/>
      <c r="E31" s="890"/>
      <c r="F31" s="890"/>
      <c r="G31" s="891"/>
      <c r="H31" s="889"/>
      <c r="I31" s="890"/>
      <c r="J31" s="890"/>
      <c r="K31" s="890"/>
      <c r="L31" s="891"/>
    </row>
    <row r="32" spans="2:12" x14ac:dyDescent="0.25">
      <c r="B32" s="889"/>
      <c r="C32" s="890"/>
      <c r="D32" s="890"/>
      <c r="E32" s="890"/>
      <c r="F32" s="890"/>
      <c r="G32" s="891"/>
      <c r="H32" s="889"/>
      <c r="I32" s="890"/>
      <c r="J32" s="890"/>
      <c r="K32" s="890"/>
      <c r="L32" s="891"/>
    </row>
    <row r="33" spans="2:12" x14ac:dyDescent="0.25">
      <c r="B33" s="889"/>
      <c r="C33" s="890"/>
      <c r="D33" s="890"/>
      <c r="E33" s="890"/>
      <c r="F33" s="890"/>
      <c r="G33" s="891"/>
      <c r="H33" s="889"/>
      <c r="I33" s="890"/>
      <c r="J33" s="890"/>
      <c r="K33" s="890"/>
      <c r="L33" s="891"/>
    </row>
    <row r="34" spans="2:12" x14ac:dyDescent="0.25">
      <c r="B34" s="889"/>
      <c r="C34" s="890"/>
      <c r="D34" s="890"/>
      <c r="E34" s="890"/>
      <c r="F34" s="890"/>
      <c r="G34" s="891"/>
      <c r="H34" s="889"/>
      <c r="I34" s="890"/>
      <c r="J34" s="890"/>
      <c r="K34" s="890"/>
      <c r="L34" s="891"/>
    </row>
    <row r="35" spans="2:12" ht="15.75" thickBot="1" x14ac:dyDescent="0.3">
      <c r="B35" s="889"/>
      <c r="C35" s="890"/>
      <c r="D35" s="890"/>
      <c r="E35" s="890"/>
      <c r="F35" s="890"/>
      <c r="G35" s="891"/>
      <c r="H35" s="889"/>
      <c r="I35" s="890"/>
      <c r="J35" s="890"/>
      <c r="K35" s="890"/>
      <c r="L35" s="891"/>
    </row>
    <row r="36" spans="2:12" ht="15" customHeight="1" x14ac:dyDescent="0.25">
      <c r="B36" s="1043" t="s">
        <v>1411</v>
      </c>
      <c r="C36" s="1044"/>
      <c r="D36" s="1044"/>
      <c r="E36" s="1044"/>
      <c r="F36" s="1044"/>
      <c r="G36" s="1045"/>
      <c r="H36" s="1043" t="s">
        <v>1412</v>
      </c>
      <c r="I36" s="1044"/>
      <c r="J36" s="1044"/>
      <c r="K36" s="1044"/>
      <c r="L36" s="1045"/>
    </row>
    <row r="37" spans="2:12" ht="18" customHeight="1" thickBot="1" x14ac:dyDescent="0.3">
      <c r="B37" s="1046"/>
      <c r="C37" s="1047"/>
      <c r="D37" s="1047"/>
      <c r="E37" s="1047"/>
      <c r="F37" s="1047"/>
      <c r="G37" s="1048"/>
      <c r="H37" s="1046"/>
      <c r="I37" s="1047"/>
      <c r="J37" s="1047"/>
      <c r="K37" s="1047"/>
      <c r="L37" s="1048"/>
    </row>
    <row r="38" spans="2:12" x14ac:dyDescent="0.25">
      <c r="B38" s="904" t="s">
        <v>503</v>
      </c>
      <c r="C38" s="905"/>
      <c r="D38" s="905"/>
      <c r="E38" s="905"/>
      <c r="F38" s="905"/>
      <c r="G38" s="906"/>
      <c r="H38" s="904" t="s">
        <v>504</v>
      </c>
      <c r="I38" s="905"/>
      <c r="J38" s="905"/>
      <c r="K38" s="905"/>
      <c r="L38" s="906"/>
    </row>
    <row r="39" spans="2:12" x14ac:dyDescent="0.25">
      <c r="B39" s="889"/>
      <c r="C39" s="890"/>
      <c r="D39" s="890"/>
      <c r="E39" s="890"/>
      <c r="F39" s="890"/>
      <c r="G39" s="891"/>
      <c r="H39" s="889"/>
      <c r="I39" s="890"/>
      <c r="J39" s="890"/>
      <c r="K39" s="890"/>
      <c r="L39" s="891"/>
    </row>
    <row r="40" spans="2:12" x14ac:dyDescent="0.25">
      <c r="B40" s="889"/>
      <c r="C40" s="890"/>
      <c r="D40" s="890"/>
      <c r="E40" s="890"/>
      <c r="F40" s="890"/>
      <c r="G40" s="891"/>
      <c r="H40" s="889"/>
      <c r="I40" s="890"/>
      <c r="J40" s="890"/>
      <c r="K40" s="890"/>
      <c r="L40" s="891"/>
    </row>
    <row r="41" spans="2:12" x14ac:dyDescent="0.25">
      <c r="B41" s="889"/>
      <c r="C41" s="890"/>
      <c r="D41" s="890"/>
      <c r="E41" s="890"/>
      <c r="F41" s="890"/>
      <c r="G41" s="891"/>
      <c r="H41" s="889"/>
      <c r="I41" s="890"/>
      <c r="J41" s="890"/>
      <c r="K41" s="890"/>
      <c r="L41" s="891"/>
    </row>
    <row r="42" spans="2:12" x14ac:dyDescent="0.25">
      <c r="B42" s="889"/>
      <c r="C42" s="890"/>
      <c r="D42" s="890"/>
      <c r="E42" s="890"/>
      <c r="F42" s="890"/>
      <c r="G42" s="891"/>
      <c r="H42" s="889"/>
      <c r="I42" s="890"/>
      <c r="J42" s="890"/>
      <c r="K42" s="890"/>
      <c r="L42" s="891"/>
    </row>
    <row r="43" spans="2:12" x14ac:dyDescent="0.25">
      <c r="B43" s="889"/>
      <c r="C43" s="890"/>
      <c r="D43" s="890"/>
      <c r="E43" s="890"/>
      <c r="F43" s="890"/>
      <c r="G43" s="891"/>
      <c r="H43" s="889"/>
      <c r="I43" s="890"/>
      <c r="J43" s="890"/>
      <c r="K43" s="890"/>
      <c r="L43" s="891"/>
    </row>
    <row r="44" spans="2:12" x14ac:dyDescent="0.25">
      <c r="B44" s="889"/>
      <c r="C44" s="890"/>
      <c r="D44" s="890"/>
      <c r="E44" s="890"/>
      <c r="F44" s="890"/>
      <c r="G44" s="891"/>
      <c r="H44" s="889"/>
      <c r="I44" s="890"/>
      <c r="J44" s="890"/>
      <c r="K44" s="890"/>
      <c r="L44" s="891"/>
    </row>
    <row r="45" spans="2:12" x14ac:dyDescent="0.25">
      <c r="B45" s="889"/>
      <c r="C45" s="890"/>
      <c r="D45" s="890"/>
      <c r="E45" s="890"/>
      <c r="F45" s="890"/>
      <c r="G45" s="891"/>
      <c r="H45" s="889"/>
      <c r="I45" s="890"/>
      <c r="J45" s="890"/>
      <c r="K45" s="890"/>
      <c r="L45" s="891"/>
    </row>
    <row r="46" spans="2:12" x14ac:dyDescent="0.25">
      <c r="B46" s="889"/>
      <c r="C46" s="890"/>
      <c r="D46" s="890"/>
      <c r="E46" s="890"/>
      <c r="F46" s="890"/>
      <c r="G46" s="891"/>
      <c r="H46" s="889"/>
      <c r="I46" s="890"/>
      <c r="J46" s="890"/>
      <c r="K46" s="890"/>
      <c r="L46" s="891"/>
    </row>
    <row r="47" spans="2:12" x14ac:dyDescent="0.25">
      <c r="B47" s="889"/>
      <c r="C47" s="890"/>
      <c r="D47" s="890"/>
      <c r="E47" s="890"/>
      <c r="F47" s="890"/>
      <c r="G47" s="891"/>
      <c r="H47" s="889"/>
      <c r="I47" s="890"/>
      <c r="J47" s="890"/>
      <c r="K47" s="890"/>
      <c r="L47" s="891"/>
    </row>
    <row r="48" spans="2:12" x14ac:dyDescent="0.25">
      <c r="B48" s="889"/>
      <c r="C48" s="890"/>
      <c r="D48" s="890"/>
      <c r="E48" s="890"/>
      <c r="F48" s="890"/>
      <c r="G48" s="891"/>
      <c r="H48" s="889"/>
      <c r="I48" s="890"/>
      <c r="J48" s="890"/>
      <c r="K48" s="890"/>
      <c r="L48" s="891"/>
    </row>
    <row r="49" spans="2:12" x14ac:dyDescent="0.25">
      <c r="B49" s="889"/>
      <c r="C49" s="890"/>
      <c r="D49" s="890"/>
      <c r="E49" s="890"/>
      <c r="F49" s="890"/>
      <c r="G49" s="891"/>
      <c r="H49" s="889"/>
      <c r="I49" s="890"/>
      <c r="J49" s="890"/>
      <c r="K49" s="890"/>
      <c r="L49" s="891"/>
    </row>
    <row r="50" spans="2:12" x14ac:dyDescent="0.25">
      <c r="B50" s="889"/>
      <c r="C50" s="890"/>
      <c r="D50" s="890"/>
      <c r="E50" s="890"/>
      <c r="F50" s="890"/>
      <c r="G50" s="891"/>
      <c r="H50" s="889"/>
      <c r="I50" s="890"/>
      <c r="J50" s="890"/>
      <c r="K50" s="890"/>
      <c r="L50" s="891"/>
    </row>
    <row r="51" spans="2:12" ht="15.75" thickBot="1" x14ac:dyDescent="0.3">
      <c r="B51" s="889"/>
      <c r="C51" s="890"/>
      <c r="D51" s="890"/>
      <c r="E51" s="890"/>
      <c r="F51" s="890"/>
      <c r="G51" s="891"/>
      <c r="H51" s="889"/>
      <c r="I51" s="890"/>
      <c r="J51" s="890"/>
      <c r="K51" s="890"/>
      <c r="L51" s="891"/>
    </row>
    <row r="52" spans="2:12" ht="15" customHeight="1" x14ac:dyDescent="0.25">
      <c r="B52" s="1043" t="s">
        <v>1413</v>
      </c>
      <c r="C52" s="1044"/>
      <c r="D52" s="1044"/>
      <c r="E52" s="1044"/>
      <c r="F52" s="1044"/>
      <c r="G52" s="1045"/>
      <c r="H52" s="1049" t="s">
        <v>1414</v>
      </c>
      <c r="I52" s="1050"/>
      <c r="J52" s="1050"/>
      <c r="K52" s="1050"/>
      <c r="L52" s="1051"/>
    </row>
    <row r="53" spans="2:12" ht="15.75" thickBot="1" x14ac:dyDescent="0.3">
      <c r="B53" s="1046"/>
      <c r="C53" s="1047"/>
      <c r="D53" s="1047"/>
      <c r="E53" s="1047"/>
      <c r="F53" s="1047"/>
      <c r="G53" s="1048"/>
      <c r="H53" s="1052"/>
      <c r="I53" s="1053"/>
      <c r="J53" s="1053"/>
      <c r="K53" s="1053"/>
      <c r="L53" s="1054"/>
    </row>
    <row r="54" spans="2:12" x14ac:dyDescent="0.25">
      <c r="B54" s="904" t="s">
        <v>503</v>
      </c>
      <c r="C54" s="905"/>
      <c r="D54" s="905"/>
      <c r="E54" s="905"/>
      <c r="F54" s="905"/>
      <c r="G54" s="906"/>
      <c r="H54" s="904" t="s">
        <v>504</v>
      </c>
      <c r="I54" s="905"/>
      <c r="J54" s="905"/>
      <c r="K54" s="905"/>
      <c r="L54" s="906"/>
    </row>
    <row r="55" spans="2:12" x14ac:dyDescent="0.25">
      <c r="B55" s="889"/>
      <c r="C55" s="890"/>
      <c r="D55" s="890"/>
      <c r="E55" s="890"/>
      <c r="F55" s="890"/>
      <c r="G55" s="891"/>
      <c r="H55" s="889"/>
      <c r="I55" s="890"/>
      <c r="J55" s="890"/>
      <c r="K55" s="890"/>
      <c r="L55" s="891"/>
    </row>
    <row r="56" spans="2:12" x14ac:dyDescent="0.25">
      <c r="B56" s="889"/>
      <c r="C56" s="890"/>
      <c r="D56" s="890"/>
      <c r="E56" s="890"/>
      <c r="F56" s="890"/>
      <c r="G56" s="891"/>
      <c r="H56" s="889"/>
      <c r="I56" s="890"/>
      <c r="J56" s="890"/>
      <c r="K56" s="890"/>
      <c r="L56" s="891"/>
    </row>
    <row r="57" spans="2:12" x14ac:dyDescent="0.25">
      <c r="B57" s="889"/>
      <c r="C57" s="890"/>
      <c r="D57" s="890"/>
      <c r="E57" s="890"/>
      <c r="F57" s="890"/>
      <c r="G57" s="891"/>
      <c r="H57" s="889"/>
      <c r="I57" s="890"/>
      <c r="J57" s="890"/>
      <c r="K57" s="890"/>
      <c r="L57" s="891"/>
    </row>
    <row r="58" spans="2:12" x14ac:dyDescent="0.25">
      <c r="B58" s="889"/>
      <c r="C58" s="890"/>
      <c r="D58" s="890"/>
      <c r="E58" s="890"/>
      <c r="F58" s="890"/>
      <c r="G58" s="891"/>
      <c r="H58" s="889"/>
      <c r="I58" s="890"/>
      <c r="J58" s="890"/>
      <c r="K58" s="890"/>
      <c r="L58" s="891"/>
    </row>
    <row r="59" spans="2:12" x14ac:dyDescent="0.25">
      <c r="B59" s="889"/>
      <c r="C59" s="890"/>
      <c r="D59" s="890"/>
      <c r="E59" s="890"/>
      <c r="F59" s="890"/>
      <c r="G59" s="891"/>
      <c r="H59" s="889"/>
      <c r="I59" s="890"/>
      <c r="J59" s="890"/>
      <c r="K59" s="890"/>
      <c r="L59" s="891"/>
    </row>
    <row r="60" spans="2:12" x14ac:dyDescent="0.25">
      <c r="B60" s="889"/>
      <c r="C60" s="890"/>
      <c r="D60" s="890"/>
      <c r="E60" s="890"/>
      <c r="F60" s="890"/>
      <c r="G60" s="891"/>
      <c r="H60" s="889"/>
      <c r="I60" s="890"/>
      <c r="J60" s="890"/>
      <c r="K60" s="890"/>
      <c r="L60" s="891"/>
    </row>
    <row r="61" spans="2:12" x14ac:dyDescent="0.25">
      <c r="B61" s="889"/>
      <c r="C61" s="890"/>
      <c r="D61" s="890"/>
      <c r="E61" s="890"/>
      <c r="F61" s="890"/>
      <c r="G61" s="891"/>
      <c r="H61" s="889"/>
      <c r="I61" s="890"/>
      <c r="J61" s="890"/>
      <c r="K61" s="890"/>
      <c r="L61" s="891"/>
    </row>
    <row r="62" spans="2:12" x14ac:dyDescent="0.25">
      <c r="B62" s="889"/>
      <c r="C62" s="890"/>
      <c r="D62" s="890"/>
      <c r="E62" s="890"/>
      <c r="F62" s="890"/>
      <c r="G62" s="891"/>
      <c r="H62" s="889"/>
      <c r="I62" s="890"/>
      <c r="J62" s="890"/>
      <c r="K62" s="890"/>
      <c r="L62" s="891"/>
    </row>
    <row r="63" spans="2:12" x14ac:dyDescent="0.25">
      <c r="B63" s="889"/>
      <c r="C63" s="890"/>
      <c r="D63" s="890"/>
      <c r="E63" s="890"/>
      <c r="F63" s="890"/>
      <c r="G63" s="891"/>
      <c r="H63" s="889"/>
      <c r="I63" s="890"/>
      <c r="J63" s="890"/>
      <c r="K63" s="890"/>
      <c r="L63" s="891"/>
    </row>
    <row r="64" spans="2:12" x14ac:dyDescent="0.25">
      <c r="B64" s="889"/>
      <c r="C64" s="890"/>
      <c r="D64" s="890"/>
      <c r="E64" s="890"/>
      <c r="F64" s="890"/>
      <c r="G64" s="891"/>
      <c r="H64" s="889"/>
      <c r="I64" s="890"/>
      <c r="J64" s="890"/>
      <c r="K64" s="890"/>
      <c r="L64" s="891"/>
    </row>
    <row r="65" spans="2:12" x14ac:dyDescent="0.25">
      <c r="B65" s="889"/>
      <c r="C65" s="890"/>
      <c r="D65" s="890"/>
      <c r="E65" s="890"/>
      <c r="F65" s="890"/>
      <c r="G65" s="891"/>
      <c r="H65" s="889"/>
      <c r="I65" s="890"/>
      <c r="J65" s="890"/>
      <c r="K65" s="890"/>
      <c r="L65" s="891"/>
    </row>
    <row r="66" spans="2:12" x14ac:dyDescent="0.25">
      <c r="B66" s="889"/>
      <c r="C66" s="890"/>
      <c r="D66" s="890"/>
      <c r="E66" s="890"/>
      <c r="F66" s="890"/>
      <c r="G66" s="891"/>
      <c r="H66" s="889"/>
      <c r="I66" s="890"/>
      <c r="J66" s="890"/>
      <c r="K66" s="890"/>
      <c r="L66" s="891"/>
    </row>
    <row r="67" spans="2:12" ht="15.75" thickBot="1" x14ac:dyDescent="0.3">
      <c r="B67" s="889"/>
      <c r="C67" s="890"/>
      <c r="D67" s="890"/>
      <c r="E67" s="890"/>
      <c r="F67" s="890"/>
      <c r="G67" s="891"/>
      <c r="H67" s="889"/>
      <c r="I67" s="890"/>
      <c r="J67" s="890"/>
      <c r="K67" s="890"/>
      <c r="L67" s="891"/>
    </row>
    <row r="68" spans="2:12" ht="15" customHeight="1" x14ac:dyDescent="0.25">
      <c r="B68" s="1049" t="s">
        <v>1156</v>
      </c>
      <c r="C68" s="1050"/>
      <c r="D68" s="1050"/>
      <c r="E68" s="1050"/>
      <c r="F68" s="1050"/>
      <c r="G68" s="1051"/>
      <c r="H68" s="1049" t="s">
        <v>1415</v>
      </c>
      <c r="I68" s="1050"/>
      <c r="J68" s="1050"/>
      <c r="K68" s="1050"/>
      <c r="L68" s="1051"/>
    </row>
    <row r="69" spans="2:12" ht="15.75" thickBot="1" x14ac:dyDescent="0.3">
      <c r="B69" s="1052"/>
      <c r="C69" s="1053"/>
      <c r="D69" s="1053"/>
      <c r="E69" s="1053"/>
      <c r="F69" s="1053"/>
      <c r="G69" s="1054"/>
      <c r="H69" s="1052"/>
      <c r="I69" s="1053"/>
      <c r="J69" s="1053"/>
      <c r="K69" s="1053"/>
      <c r="L69" s="1054"/>
    </row>
    <row r="70" spans="2:12" x14ac:dyDescent="0.25">
      <c r="B70" s="904" t="s">
        <v>992</v>
      </c>
      <c r="C70" s="905"/>
      <c r="D70" s="905"/>
      <c r="E70" s="905"/>
      <c r="F70" s="905"/>
      <c r="G70" s="906"/>
      <c r="H70" s="904" t="s">
        <v>993</v>
      </c>
      <c r="I70" s="905"/>
      <c r="J70" s="905"/>
      <c r="K70" s="905"/>
      <c r="L70" s="906"/>
    </row>
    <row r="71" spans="2:12" x14ac:dyDescent="0.25">
      <c r="B71" s="889"/>
      <c r="C71" s="890"/>
      <c r="D71" s="890"/>
      <c r="E71" s="890"/>
      <c r="F71" s="890"/>
      <c r="G71" s="891"/>
      <c r="H71" s="889"/>
      <c r="I71" s="890"/>
      <c r="J71" s="890"/>
      <c r="K71" s="890"/>
      <c r="L71" s="891"/>
    </row>
    <row r="72" spans="2:12" x14ac:dyDescent="0.25">
      <c r="B72" s="889"/>
      <c r="C72" s="890"/>
      <c r="D72" s="890"/>
      <c r="E72" s="890"/>
      <c r="F72" s="890"/>
      <c r="G72" s="891"/>
      <c r="H72" s="889"/>
      <c r="I72" s="890"/>
      <c r="J72" s="890"/>
      <c r="K72" s="890"/>
      <c r="L72" s="891"/>
    </row>
    <row r="73" spans="2:12" x14ac:dyDescent="0.25">
      <c r="B73" s="889"/>
      <c r="C73" s="890"/>
      <c r="D73" s="890"/>
      <c r="E73" s="890"/>
      <c r="F73" s="890"/>
      <c r="G73" s="891"/>
      <c r="H73" s="889"/>
      <c r="I73" s="890"/>
      <c r="J73" s="890"/>
      <c r="K73" s="890"/>
      <c r="L73" s="891"/>
    </row>
    <row r="74" spans="2:12" x14ac:dyDescent="0.25">
      <c r="B74" s="889"/>
      <c r="C74" s="890"/>
      <c r="D74" s="890"/>
      <c r="E74" s="890"/>
      <c r="F74" s="890"/>
      <c r="G74" s="891"/>
      <c r="H74" s="889"/>
      <c r="I74" s="890"/>
      <c r="J74" s="890"/>
      <c r="K74" s="890"/>
      <c r="L74" s="891"/>
    </row>
    <row r="75" spans="2:12" x14ac:dyDescent="0.25">
      <c r="B75" s="889"/>
      <c r="C75" s="890"/>
      <c r="D75" s="890"/>
      <c r="E75" s="890"/>
      <c r="F75" s="890"/>
      <c r="G75" s="891"/>
      <c r="H75" s="889"/>
      <c r="I75" s="890"/>
      <c r="J75" s="890"/>
      <c r="K75" s="890"/>
      <c r="L75" s="891"/>
    </row>
    <row r="76" spans="2:12" x14ac:dyDescent="0.25">
      <c r="B76" s="889"/>
      <c r="C76" s="890"/>
      <c r="D76" s="890"/>
      <c r="E76" s="890"/>
      <c r="F76" s="890"/>
      <c r="G76" s="891"/>
      <c r="H76" s="889"/>
      <c r="I76" s="890"/>
      <c r="J76" s="890"/>
      <c r="K76" s="890"/>
      <c r="L76" s="891"/>
    </row>
    <row r="77" spans="2:12" x14ac:dyDescent="0.25">
      <c r="B77" s="889"/>
      <c r="C77" s="890"/>
      <c r="D77" s="890"/>
      <c r="E77" s="890"/>
      <c r="F77" s="890"/>
      <c r="G77" s="891"/>
      <c r="H77" s="889"/>
      <c r="I77" s="890"/>
      <c r="J77" s="890"/>
      <c r="K77" s="890"/>
      <c r="L77" s="891"/>
    </row>
    <row r="78" spans="2:12" x14ac:dyDescent="0.25">
      <c r="B78" s="889"/>
      <c r="C78" s="890"/>
      <c r="D78" s="890"/>
      <c r="E78" s="890"/>
      <c r="F78" s="890"/>
      <c r="G78" s="891"/>
      <c r="H78" s="889"/>
      <c r="I78" s="890"/>
      <c r="J78" s="890"/>
      <c r="K78" s="890"/>
      <c r="L78" s="891"/>
    </row>
    <row r="79" spans="2:12" x14ac:dyDescent="0.25">
      <c r="B79" s="889"/>
      <c r="C79" s="890"/>
      <c r="D79" s="890"/>
      <c r="E79" s="890"/>
      <c r="F79" s="890"/>
      <c r="G79" s="891"/>
      <c r="H79" s="889"/>
      <c r="I79" s="890"/>
      <c r="J79" s="890"/>
      <c r="K79" s="890"/>
      <c r="L79" s="891"/>
    </row>
    <row r="80" spans="2:12" x14ac:dyDescent="0.25">
      <c r="B80" s="889"/>
      <c r="C80" s="890"/>
      <c r="D80" s="890"/>
      <c r="E80" s="890"/>
      <c r="F80" s="890"/>
      <c r="G80" s="891"/>
      <c r="H80" s="889"/>
      <c r="I80" s="890"/>
      <c r="J80" s="890"/>
      <c r="K80" s="890"/>
      <c r="L80" s="891"/>
    </row>
    <row r="81" spans="2:12" x14ac:dyDescent="0.25">
      <c r="B81" s="889"/>
      <c r="C81" s="890"/>
      <c r="D81" s="890"/>
      <c r="E81" s="890"/>
      <c r="F81" s="890"/>
      <c r="G81" s="891"/>
      <c r="H81" s="889"/>
      <c r="I81" s="890"/>
      <c r="J81" s="890"/>
      <c r="K81" s="890"/>
      <c r="L81" s="891"/>
    </row>
    <row r="82" spans="2:12" x14ac:dyDescent="0.25">
      <c r="B82" s="889"/>
      <c r="C82" s="890"/>
      <c r="D82" s="890"/>
      <c r="E82" s="890"/>
      <c r="F82" s="890"/>
      <c r="G82" s="891"/>
      <c r="H82" s="889"/>
      <c r="I82" s="890"/>
      <c r="J82" s="890"/>
      <c r="K82" s="890"/>
      <c r="L82" s="891"/>
    </row>
    <row r="83" spans="2:12" ht="15.75" thickBot="1" x14ac:dyDescent="0.3">
      <c r="B83" s="889"/>
      <c r="C83" s="890"/>
      <c r="D83" s="890"/>
      <c r="E83" s="890"/>
      <c r="F83" s="890"/>
      <c r="G83" s="891"/>
      <c r="H83" s="889"/>
      <c r="I83" s="890"/>
      <c r="J83" s="890"/>
      <c r="K83" s="890"/>
      <c r="L83" s="891"/>
    </row>
    <row r="84" spans="2:12" ht="15" customHeight="1" x14ac:dyDescent="0.25">
      <c r="B84" s="1043" t="s">
        <v>1416</v>
      </c>
      <c r="C84" s="1044"/>
      <c r="D84" s="1044"/>
      <c r="E84" s="1044"/>
      <c r="F84" s="1044"/>
      <c r="G84" s="1045"/>
      <c r="H84" s="1043" t="s">
        <v>1417</v>
      </c>
      <c r="I84" s="1044"/>
      <c r="J84" s="1044"/>
      <c r="K84" s="1044"/>
      <c r="L84" s="1045"/>
    </row>
    <row r="85" spans="2:12" ht="15.75" thickBot="1" x14ac:dyDescent="0.3">
      <c r="B85" s="1046"/>
      <c r="C85" s="1047"/>
      <c r="D85" s="1047"/>
      <c r="E85" s="1047"/>
      <c r="F85" s="1047"/>
      <c r="G85" s="1048"/>
      <c r="H85" s="1046"/>
      <c r="I85" s="1047"/>
      <c r="J85" s="1047"/>
      <c r="K85" s="1047"/>
      <c r="L85" s="1048"/>
    </row>
    <row r="86" spans="2:12" x14ac:dyDescent="0.25">
      <c r="B86" s="904" t="s">
        <v>994</v>
      </c>
      <c r="C86" s="905"/>
      <c r="D86" s="905"/>
      <c r="E86" s="905"/>
      <c r="F86" s="905"/>
      <c r="G86" s="906"/>
      <c r="H86" s="904" t="s">
        <v>995</v>
      </c>
      <c r="I86" s="905"/>
      <c r="J86" s="905"/>
      <c r="K86" s="905"/>
      <c r="L86" s="906"/>
    </row>
    <row r="87" spans="2:12" x14ac:dyDescent="0.25">
      <c r="B87" s="889"/>
      <c r="C87" s="890"/>
      <c r="D87" s="890"/>
      <c r="E87" s="890"/>
      <c r="F87" s="890"/>
      <c r="G87" s="891"/>
      <c r="H87" s="889"/>
      <c r="I87" s="890"/>
      <c r="J87" s="890"/>
      <c r="K87" s="890"/>
      <c r="L87" s="891"/>
    </row>
    <row r="88" spans="2:12" x14ac:dyDescent="0.25">
      <c r="B88" s="889"/>
      <c r="C88" s="890"/>
      <c r="D88" s="890"/>
      <c r="E88" s="890"/>
      <c r="F88" s="890"/>
      <c r="G88" s="891"/>
      <c r="H88" s="889"/>
      <c r="I88" s="890"/>
      <c r="J88" s="890"/>
      <c r="K88" s="890"/>
      <c r="L88" s="891"/>
    </row>
    <row r="89" spans="2:12" x14ac:dyDescent="0.25">
      <c r="B89" s="889"/>
      <c r="C89" s="890"/>
      <c r="D89" s="890"/>
      <c r="E89" s="890"/>
      <c r="F89" s="890"/>
      <c r="G89" s="891"/>
      <c r="H89" s="889"/>
      <c r="I89" s="890"/>
      <c r="J89" s="890"/>
      <c r="K89" s="890"/>
      <c r="L89" s="891"/>
    </row>
    <row r="90" spans="2:12" x14ac:dyDescent="0.25">
      <c r="B90" s="889"/>
      <c r="C90" s="890"/>
      <c r="D90" s="890"/>
      <c r="E90" s="890"/>
      <c r="F90" s="890"/>
      <c r="G90" s="891"/>
      <c r="H90" s="889"/>
      <c r="I90" s="890"/>
      <c r="J90" s="890"/>
      <c r="K90" s="890"/>
      <c r="L90" s="891"/>
    </row>
    <row r="91" spans="2:12" x14ac:dyDescent="0.25">
      <c r="B91" s="889"/>
      <c r="C91" s="890"/>
      <c r="D91" s="890"/>
      <c r="E91" s="890"/>
      <c r="F91" s="890"/>
      <c r="G91" s="891"/>
      <c r="H91" s="889"/>
      <c r="I91" s="890"/>
      <c r="J91" s="890"/>
      <c r="K91" s="890"/>
      <c r="L91" s="891"/>
    </row>
    <row r="92" spans="2:12" x14ac:dyDescent="0.25">
      <c r="B92" s="889"/>
      <c r="C92" s="890"/>
      <c r="D92" s="890"/>
      <c r="E92" s="890"/>
      <c r="F92" s="890"/>
      <c r="G92" s="891"/>
      <c r="H92" s="889"/>
      <c r="I92" s="890"/>
      <c r="J92" s="890"/>
      <c r="K92" s="890"/>
      <c r="L92" s="891"/>
    </row>
    <row r="93" spans="2:12" x14ac:dyDescent="0.25">
      <c r="B93" s="889"/>
      <c r="C93" s="890"/>
      <c r="D93" s="890"/>
      <c r="E93" s="890"/>
      <c r="F93" s="890"/>
      <c r="G93" s="891"/>
      <c r="H93" s="889"/>
      <c r="I93" s="890"/>
      <c r="J93" s="890"/>
      <c r="K93" s="890"/>
      <c r="L93" s="891"/>
    </row>
    <row r="94" spans="2:12" x14ac:dyDescent="0.25">
      <c r="B94" s="889"/>
      <c r="C94" s="890"/>
      <c r="D94" s="890"/>
      <c r="E94" s="890"/>
      <c r="F94" s="890"/>
      <c r="G94" s="891"/>
      <c r="H94" s="889"/>
      <c r="I94" s="890"/>
      <c r="J94" s="890"/>
      <c r="K94" s="890"/>
      <c r="L94" s="891"/>
    </row>
    <row r="95" spans="2:12" x14ac:dyDescent="0.25">
      <c r="B95" s="889"/>
      <c r="C95" s="890"/>
      <c r="D95" s="890"/>
      <c r="E95" s="890"/>
      <c r="F95" s="890"/>
      <c r="G95" s="891"/>
      <c r="H95" s="889"/>
      <c r="I95" s="890"/>
      <c r="J95" s="890"/>
      <c r="K95" s="890"/>
      <c r="L95" s="891"/>
    </row>
    <row r="96" spans="2:12" x14ac:dyDescent="0.25">
      <c r="B96" s="889"/>
      <c r="C96" s="890"/>
      <c r="D96" s="890"/>
      <c r="E96" s="890"/>
      <c r="F96" s="890"/>
      <c r="G96" s="891"/>
      <c r="H96" s="889"/>
      <c r="I96" s="890"/>
      <c r="J96" s="890"/>
      <c r="K96" s="890"/>
      <c r="L96" s="891"/>
    </row>
    <row r="97" spans="2:12" x14ac:dyDescent="0.25">
      <c r="B97" s="889"/>
      <c r="C97" s="890"/>
      <c r="D97" s="890"/>
      <c r="E97" s="890"/>
      <c r="F97" s="890"/>
      <c r="G97" s="891"/>
      <c r="H97" s="889"/>
      <c r="I97" s="890"/>
      <c r="J97" s="890"/>
      <c r="K97" s="890"/>
      <c r="L97" s="891"/>
    </row>
    <row r="98" spans="2:12" x14ac:dyDescent="0.25">
      <c r="B98" s="889"/>
      <c r="C98" s="890"/>
      <c r="D98" s="890"/>
      <c r="E98" s="890"/>
      <c r="F98" s="890"/>
      <c r="G98" s="891"/>
      <c r="H98" s="889"/>
      <c r="I98" s="890"/>
      <c r="J98" s="890"/>
      <c r="K98" s="890"/>
      <c r="L98" s="891"/>
    </row>
    <row r="99" spans="2:12" ht="15.75" thickBot="1" x14ac:dyDescent="0.3">
      <c r="B99" s="889"/>
      <c r="C99" s="890"/>
      <c r="D99" s="890"/>
      <c r="E99" s="890"/>
      <c r="F99" s="890"/>
      <c r="G99" s="891"/>
      <c r="H99" s="889"/>
      <c r="I99" s="890"/>
      <c r="J99" s="890"/>
      <c r="K99" s="890"/>
      <c r="L99" s="891"/>
    </row>
    <row r="100" spans="2:12" ht="15" customHeight="1" x14ac:dyDescent="0.25">
      <c r="B100" s="1043" t="s">
        <v>1418</v>
      </c>
      <c r="C100" s="1044"/>
      <c r="D100" s="1044"/>
      <c r="E100" s="1044"/>
      <c r="F100" s="1044"/>
      <c r="G100" s="1045"/>
      <c r="H100" s="1043" t="s">
        <v>1419</v>
      </c>
      <c r="I100" s="1044"/>
      <c r="J100" s="1044"/>
      <c r="K100" s="1044"/>
      <c r="L100" s="1045"/>
    </row>
    <row r="101" spans="2:12" ht="15.75" thickBot="1" x14ac:dyDescent="0.3">
      <c r="B101" s="1046"/>
      <c r="C101" s="1047"/>
      <c r="D101" s="1047"/>
      <c r="E101" s="1047"/>
      <c r="F101" s="1047"/>
      <c r="G101" s="1048"/>
      <c r="H101" s="1046"/>
      <c r="I101" s="1047"/>
      <c r="J101" s="1047"/>
      <c r="K101" s="1047"/>
      <c r="L101" s="1048"/>
    </row>
  </sheetData>
  <mergeCells count="31">
    <mergeCell ref="B1:L2"/>
    <mergeCell ref="B3:E3"/>
    <mergeCell ref="G3:I3"/>
    <mergeCell ref="J3:L3"/>
    <mergeCell ref="B4:H5"/>
    <mergeCell ref="K4:L4"/>
    <mergeCell ref="K5:L5"/>
    <mergeCell ref="B6:G19"/>
    <mergeCell ref="H6:L19"/>
    <mergeCell ref="B20:G21"/>
    <mergeCell ref="H20:L21"/>
    <mergeCell ref="B22:G35"/>
    <mergeCell ref="H22:L35"/>
    <mergeCell ref="B36:G37"/>
    <mergeCell ref="H36:L37"/>
    <mergeCell ref="B38:G51"/>
    <mergeCell ref="H38:L51"/>
    <mergeCell ref="B52:G53"/>
    <mergeCell ref="H52:L53"/>
    <mergeCell ref="B54:G67"/>
    <mergeCell ref="H54:L67"/>
    <mergeCell ref="B68:G69"/>
    <mergeCell ref="H68:L69"/>
    <mergeCell ref="B70:G83"/>
    <mergeCell ref="H70:L83"/>
    <mergeCell ref="B84:G85"/>
    <mergeCell ref="H84:L85"/>
    <mergeCell ref="B86:G99"/>
    <mergeCell ref="H86:L99"/>
    <mergeCell ref="B100:G101"/>
    <mergeCell ref="H100:L101"/>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67"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L188"/>
  <sheetViews>
    <sheetView view="pageBreakPreview" zoomScaleNormal="100" zoomScaleSheetLayoutView="100" zoomScalePageLayoutView="110" workbookViewId="0">
      <selection activeCell="O21" sqref="O21"/>
    </sheetView>
  </sheetViews>
  <sheetFormatPr baseColWidth="10" defaultColWidth="11.42578125" defaultRowHeight="15" x14ac:dyDescent="0.25"/>
  <cols>
    <col min="1" max="1" width="4.7109375" style="130" customWidth="1"/>
    <col min="2" max="2" width="8.28515625" style="130" customWidth="1"/>
    <col min="3" max="3" width="8" style="130" customWidth="1"/>
    <col min="4" max="4" width="11.42578125" style="130"/>
    <col min="5" max="5" width="11.85546875" style="130" customWidth="1"/>
    <col min="6" max="6" width="33.85546875" style="130" customWidth="1"/>
    <col min="7" max="7" width="8.5703125" style="130" customWidth="1"/>
    <col min="8" max="8" width="22.42578125" style="130" customWidth="1"/>
    <col min="9" max="9" width="13" style="130" customWidth="1"/>
    <col min="10" max="10" width="34.5703125" style="130" customWidth="1"/>
    <col min="11" max="11" width="0.28515625" style="130" customWidth="1"/>
    <col min="12" max="12" width="4.85546875" style="130" hidden="1" customWidth="1"/>
    <col min="13" max="16384" width="11.42578125" style="130"/>
  </cols>
  <sheetData>
    <row r="1" spans="1:11" ht="27.75" customHeight="1" x14ac:dyDescent="0.25">
      <c r="A1" s="981" t="s">
        <v>251</v>
      </c>
      <c r="B1" s="874"/>
      <c r="C1" s="874"/>
      <c r="D1" s="874"/>
      <c r="E1" s="874"/>
      <c r="F1" s="874"/>
      <c r="G1" s="874"/>
      <c r="H1" s="874"/>
      <c r="I1" s="874"/>
      <c r="J1" s="874"/>
      <c r="K1" s="929"/>
    </row>
    <row r="2" spans="1:11" ht="11.25" customHeight="1" x14ac:dyDescent="0.25">
      <c r="A2" s="982"/>
      <c r="B2" s="875"/>
      <c r="C2" s="875"/>
      <c r="D2" s="875"/>
      <c r="E2" s="875"/>
      <c r="F2" s="875"/>
      <c r="G2" s="875"/>
      <c r="H2" s="875"/>
      <c r="I2" s="875"/>
      <c r="J2" s="875"/>
      <c r="K2" s="931"/>
    </row>
    <row r="3" spans="1:11" ht="24.95" customHeight="1" x14ac:dyDescent="0.25">
      <c r="A3" s="934" t="s">
        <v>289</v>
      </c>
      <c r="B3" s="932"/>
      <c r="C3" s="932"/>
      <c r="D3" s="933"/>
      <c r="E3" s="311">
        <v>44244</v>
      </c>
      <c r="F3" s="934" t="s">
        <v>290</v>
      </c>
      <c r="G3" s="932"/>
      <c r="H3" s="933"/>
      <c r="I3" s="935">
        <v>44250</v>
      </c>
      <c r="J3" s="932"/>
      <c r="K3" s="933"/>
    </row>
    <row r="4" spans="1:11" ht="24.95" customHeight="1" x14ac:dyDescent="0.25">
      <c r="A4" s="1059" t="s">
        <v>250</v>
      </c>
      <c r="B4" s="1060"/>
      <c r="C4" s="1060"/>
      <c r="D4" s="1060"/>
      <c r="E4" s="1060"/>
      <c r="F4" s="1060"/>
      <c r="G4" s="1061"/>
      <c r="H4" s="312" t="s">
        <v>489</v>
      </c>
      <c r="I4" s="312" t="s">
        <v>2</v>
      </c>
      <c r="J4" s="1065" t="s">
        <v>0</v>
      </c>
      <c r="K4" s="1066"/>
    </row>
    <row r="5" spans="1:11" ht="24.95" customHeight="1" x14ac:dyDescent="0.25">
      <c r="A5" s="1062"/>
      <c r="B5" s="1063"/>
      <c r="C5" s="1063"/>
      <c r="D5" s="1063"/>
      <c r="E5" s="1063"/>
      <c r="F5" s="1063"/>
      <c r="G5" s="1064"/>
      <c r="H5" s="313" t="s">
        <v>490</v>
      </c>
      <c r="I5" s="312">
        <v>2</v>
      </c>
      <c r="J5" s="1065" t="s">
        <v>291</v>
      </c>
      <c r="K5" s="1066"/>
    </row>
    <row r="6" spans="1:11" x14ac:dyDescent="0.25">
      <c r="A6" s="1067" t="s">
        <v>452</v>
      </c>
      <c r="B6" s="1068"/>
      <c r="C6" s="1068"/>
      <c r="D6" s="1068"/>
      <c r="E6" s="1068"/>
      <c r="F6" s="1069"/>
      <c r="G6" s="1067" t="s">
        <v>1042</v>
      </c>
      <c r="H6" s="1068"/>
      <c r="I6" s="1068"/>
      <c r="J6" s="1068"/>
      <c r="K6" s="1069"/>
    </row>
    <row r="7" spans="1:11" x14ac:dyDescent="0.25">
      <c r="A7" s="1067"/>
      <c r="B7" s="1068"/>
      <c r="C7" s="1068"/>
      <c r="D7" s="1068"/>
      <c r="E7" s="1068"/>
      <c r="F7" s="1069"/>
      <c r="G7" s="1067"/>
      <c r="H7" s="1068"/>
      <c r="I7" s="1068"/>
      <c r="J7" s="1068"/>
      <c r="K7" s="1069"/>
    </row>
    <row r="8" spans="1:11" x14ac:dyDescent="0.25">
      <c r="A8" s="1067"/>
      <c r="B8" s="1068"/>
      <c r="C8" s="1068"/>
      <c r="D8" s="1068"/>
      <c r="E8" s="1068"/>
      <c r="F8" s="1069"/>
      <c r="G8" s="1067"/>
      <c r="H8" s="1068"/>
      <c r="I8" s="1068"/>
      <c r="J8" s="1068"/>
      <c r="K8" s="1069"/>
    </row>
    <row r="9" spans="1:11" x14ac:dyDescent="0.25">
      <c r="A9" s="1067"/>
      <c r="B9" s="1068"/>
      <c r="C9" s="1068"/>
      <c r="D9" s="1068"/>
      <c r="E9" s="1068"/>
      <c r="F9" s="1069"/>
      <c r="G9" s="1067"/>
      <c r="H9" s="1068"/>
      <c r="I9" s="1068"/>
      <c r="J9" s="1068"/>
      <c r="K9" s="1069"/>
    </row>
    <row r="10" spans="1:11" x14ac:dyDescent="0.25">
      <c r="A10" s="1067"/>
      <c r="B10" s="1068"/>
      <c r="C10" s="1068"/>
      <c r="D10" s="1068"/>
      <c r="E10" s="1068"/>
      <c r="F10" s="1069"/>
      <c r="G10" s="1067"/>
      <c r="H10" s="1068"/>
      <c r="I10" s="1068"/>
      <c r="J10" s="1068"/>
      <c r="K10" s="1069"/>
    </row>
    <row r="11" spans="1:11" x14ac:dyDescent="0.25">
      <c r="A11" s="1067"/>
      <c r="B11" s="1068"/>
      <c r="C11" s="1068"/>
      <c r="D11" s="1068"/>
      <c r="E11" s="1068"/>
      <c r="F11" s="1069"/>
      <c r="G11" s="1067"/>
      <c r="H11" s="1068"/>
      <c r="I11" s="1068"/>
      <c r="J11" s="1068"/>
      <c r="K11" s="1069"/>
    </row>
    <row r="12" spans="1:11" x14ac:dyDescent="0.25">
      <c r="A12" s="1067"/>
      <c r="B12" s="1068"/>
      <c r="C12" s="1068"/>
      <c r="D12" s="1068"/>
      <c r="E12" s="1068"/>
      <c r="F12" s="1069"/>
      <c r="G12" s="1067"/>
      <c r="H12" s="1068"/>
      <c r="I12" s="1068"/>
      <c r="J12" s="1068"/>
      <c r="K12" s="1069"/>
    </row>
    <row r="13" spans="1:11" x14ac:dyDescent="0.25">
      <c r="A13" s="1067"/>
      <c r="B13" s="1068"/>
      <c r="C13" s="1068"/>
      <c r="D13" s="1068"/>
      <c r="E13" s="1068"/>
      <c r="F13" s="1069"/>
      <c r="G13" s="1067"/>
      <c r="H13" s="1068"/>
      <c r="I13" s="1068"/>
      <c r="J13" s="1068"/>
      <c r="K13" s="1069"/>
    </row>
    <row r="14" spans="1:11" x14ac:dyDescent="0.25">
      <c r="A14" s="1067"/>
      <c r="B14" s="1068"/>
      <c r="C14" s="1068"/>
      <c r="D14" s="1068"/>
      <c r="E14" s="1068"/>
      <c r="F14" s="1069"/>
      <c r="G14" s="1067"/>
      <c r="H14" s="1068"/>
      <c r="I14" s="1068"/>
      <c r="J14" s="1068"/>
      <c r="K14" s="1069"/>
    </row>
    <row r="15" spans="1:11" x14ac:dyDescent="0.25">
      <c r="A15" s="1067"/>
      <c r="B15" s="1068"/>
      <c r="C15" s="1068"/>
      <c r="D15" s="1068"/>
      <c r="E15" s="1068"/>
      <c r="F15" s="1069"/>
      <c r="G15" s="1067"/>
      <c r="H15" s="1068"/>
      <c r="I15" s="1068"/>
      <c r="J15" s="1068"/>
      <c r="K15" s="1069"/>
    </row>
    <row r="16" spans="1:11" x14ac:dyDescent="0.25">
      <c r="A16" s="1067"/>
      <c r="B16" s="1068"/>
      <c r="C16" s="1068"/>
      <c r="D16" s="1068"/>
      <c r="E16" s="1068"/>
      <c r="F16" s="1069"/>
      <c r="G16" s="1067"/>
      <c r="H16" s="1068"/>
      <c r="I16" s="1068"/>
      <c r="J16" s="1068"/>
      <c r="K16" s="1069"/>
    </row>
    <row r="17" spans="1:11" x14ac:dyDescent="0.25">
      <c r="A17" s="1067"/>
      <c r="B17" s="1068"/>
      <c r="C17" s="1068"/>
      <c r="D17" s="1068"/>
      <c r="E17" s="1068"/>
      <c r="F17" s="1069"/>
      <c r="G17" s="1067"/>
      <c r="H17" s="1068"/>
      <c r="I17" s="1068"/>
      <c r="J17" s="1068"/>
      <c r="K17" s="1069"/>
    </row>
    <row r="18" spans="1:11" x14ac:dyDescent="0.25">
      <c r="A18" s="1067"/>
      <c r="B18" s="1068"/>
      <c r="C18" s="1068"/>
      <c r="D18" s="1068"/>
      <c r="E18" s="1068"/>
      <c r="F18" s="1069"/>
      <c r="G18" s="1067"/>
      <c r="H18" s="1068"/>
      <c r="I18" s="1068"/>
      <c r="J18" s="1068"/>
      <c r="K18" s="1069"/>
    </row>
    <row r="19" spans="1:11" ht="96" customHeight="1" thickBot="1" x14ac:dyDescent="0.3">
      <c r="A19" s="1067"/>
      <c r="B19" s="1068"/>
      <c r="C19" s="1068"/>
      <c r="D19" s="1068"/>
      <c r="E19" s="1068"/>
      <c r="F19" s="1069"/>
      <c r="G19" s="1067"/>
      <c r="H19" s="1068"/>
      <c r="I19" s="1068"/>
      <c r="J19" s="1068"/>
      <c r="K19" s="1069"/>
    </row>
    <row r="20" spans="1:11" x14ac:dyDescent="0.25">
      <c r="A20" s="972" t="s">
        <v>1358</v>
      </c>
      <c r="B20" s="1070"/>
      <c r="C20" s="1070"/>
      <c r="D20" s="1070"/>
      <c r="E20" s="1070"/>
      <c r="F20" s="1071"/>
      <c r="G20" s="972" t="s">
        <v>1359</v>
      </c>
      <c r="H20" s="1070"/>
      <c r="I20" s="1070"/>
      <c r="J20" s="1070"/>
      <c r="K20" s="1071"/>
    </row>
    <row r="21" spans="1:11" ht="91.5" customHeight="1" thickBot="1" x14ac:dyDescent="0.3">
      <c r="A21" s="973"/>
      <c r="B21" s="1072"/>
      <c r="C21" s="1072"/>
      <c r="D21" s="1072"/>
      <c r="E21" s="1072"/>
      <c r="F21" s="1073"/>
      <c r="G21" s="973"/>
      <c r="H21" s="1072"/>
      <c r="I21" s="1072"/>
      <c r="J21" s="1072"/>
      <c r="K21" s="1073"/>
    </row>
    <row r="22" spans="1:11" x14ac:dyDescent="0.25">
      <c r="A22" s="1074" t="s">
        <v>1360</v>
      </c>
      <c r="B22" s="1075"/>
      <c r="C22" s="1075"/>
      <c r="D22" s="1075"/>
      <c r="E22" s="1075"/>
      <c r="F22" s="1076"/>
      <c r="G22" s="1074" t="s">
        <v>1042</v>
      </c>
      <c r="H22" s="1075"/>
      <c r="I22" s="1075"/>
      <c r="J22" s="1075"/>
      <c r="K22" s="1076"/>
    </row>
    <row r="23" spans="1:11" x14ac:dyDescent="0.25">
      <c r="A23" s="1067"/>
      <c r="B23" s="1068"/>
      <c r="C23" s="1068"/>
      <c r="D23" s="1068"/>
      <c r="E23" s="1068"/>
      <c r="F23" s="1069"/>
      <c r="G23" s="1067"/>
      <c r="H23" s="1068"/>
      <c r="I23" s="1068"/>
      <c r="J23" s="1068"/>
      <c r="K23" s="1069"/>
    </row>
    <row r="24" spans="1:11" x14ac:dyDescent="0.25">
      <c r="A24" s="1067"/>
      <c r="B24" s="1068"/>
      <c r="C24" s="1068"/>
      <c r="D24" s="1068"/>
      <c r="E24" s="1068"/>
      <c r="F24" s="1069"/>
      <c r="G24" s="1067"/>
      <c r="H24" s="1068"/>
      <c r="I24" s="1068"/>
      <c r="J24" s="1068"/>
      <c r="K24" s="1069"/>
    </row>
    <row r="25" spans="1:11" x14ac:dyDescent="0.25">
      <c r="A25" s="1067"/>
      <c r="B25" s="1068"/>
      <c r="C25" s="1068"/>
      <c r="D25" s="1068"/>
      <c r="E25" s="1068"/>
      <c r="F25" s="1069"/>
      <c r="G25" s="1067"/>
      <c r="H25" s="1068"/>
      <c r="I25" s="1068"/>
      <c r="J25" s="1068"/>
      <c r="K25" s="1069"/>
    </row>
    <row r="26" spans="1:11" x14ac:dyDescent="0.25">
      <c r="A26" s="1067"/>
      <c r="B26" s="1068"/>
      <c r="C26" s="1068"/>
      <c r="D26" s="1068"/>
      <c r="E26" s="1068"/>
      <c r="F26" s="1069"/>
      <c r="G26" s="1067"/>
      <c r="H26" s="1068"/>
      <c r="I26" s="1068"/>
      <c r="J26" s="1068"/>
      <c r="K26" s="1069"/>
    </row>
    <row r="27" spans="1:11" x14ac:dyDescent="0.25">
      <c r="A27" s="1067"/>
      <c r="B27" s="1068"/>
      <c r="C27" s="1068"/>
      <c r="D27" s="1068"/>
      <c r="E27" s="1068"/>
      <c r="F27" s="1069"/>
      <c r="G27" s="1067"/>
      <c r="H27" s="1068"/>
      <c r="I27" s="1068"/>
      <c r="J27" s="1068"/>
      <c r="K27" s="1069"/>
    </row>
    <row r="28" spans="1:11" x14ac:dyDescent="0.25">
      <c r="A28" s="1067"/>
      <c r="B28" s="1068"/>
      <c r="C28" s="1068"/>
      <c r="D28" s="1068"/>
      <c r="E28" s="1068"/>
      <c r="F28" s="1069"/>
      <c r="G28" s="1067"/>
      <c r="H28" s="1068"/>
      <c r="I28" s="1068"/>
      <c r="J28" s="1068"/>
      <c r="K28" s="1069"/>
    </row>
    <row r="29" spans="1:11" x14ac:dyDescent="0.25">
      <c r="A29" s="1067"/>
      <c r="B29" s="1068"/>
      <c r="C29" s="1068"/>
      <c r="D29" s="1068"/>
      <c r="E29" s="1068"/>
      <c r="F29" s="1069"/>
      <c r="G29" s="1067"/>
      <c r="H29" s="1068"/>
      <c r="I29" s="1068"/>
      <c r="J29" s="1068"/>
      <c r="K29" s="1069"/>
    </row>
    <row r="30" spans="1:11" x14ac:dyDescent="0.25">
      <c r="A30" s="1067"/>
      <c r="B30" s="1068"/>
      <c r="C30" s="1068"/>
      <c r="D30" s="1068"/>
      <c r="E30" s="1068"/>
      <c r="F30" s="1069"/>
      <c r="G30" s="1067"/>
      <c r="H30" s="1068"/>
      <c r="I30" s="1068"/>
      <c r="J30" s="1068"/>
      <c r="K30" s="1069"/>
    </row>
    <row r="31" spans="1:11" x14ac:dyDescent="0.25">
      <c r="A31" s="1067"/>
      <c r="B31" s="1068"/>
      <c r="C31" s="1068"/>
      <c r="D31" s="1068"/>
      <c r="E31" s="1068"/>
      <c r="F31" s="1069"/>
      <c r="G31" s="1067"/>
      <c r="H31" s="1068"/>
      <c r="I31" s="1068"/>
      <c r="J31" s="1068"/>
      <c r="K31" s="1069"/>
    </row>
    <row r="32" spans="1:11" x14ac:dyDescent="0.25">
      <c r="A32" s="1067"/>
      <c r="B32" s="1068"/>
      <c r="C32" s="1068"/>
      <c r="D32" s="1068"/>
      <c r="E32" s="1068"/>
      <c r="F32" s="1069"/>
      <c r="G32" s="1067"/>
      <c r="H32" s="1068"/>
      <c r="I32" s="1068"/>
      <c r="J32" s="1068"/>
      <c r="K32" s="1069"/>
    </row>
    <row r="33" spans="1:11" x14ac:dyDescent="0.25">
      <c r="A33" s="1067"/>
      <c r="B33" s="1068"/>
      <c r="C33" s="1068"/>
      <c r="D33" s="1068"/>
      <c r="E33" s="1068"/>
      <c r="F33" s="1069"/>
      <c r="G33" s="1067"/>
      <c r="H33" s="1068"/>
      <c r="I33" s="1068"/>
      <c r="J33" s="1068"/>
      <c r="K33" s="1069"/>
    </row>
    <row r="34" spans="1:11" x14ac:dyDescent="0.25">
      <c r="A34" s="1067"/>
      <c r="B34" s="1068"/>
      <c r="C34" s="1068"/>
      <c r="D34" s="1068"/>
      <c r="E34" s="1068"/>
      <c r="F34" s="1069"/>
      <c r="G34" s="1067"/>
      <c r="H34" s="1068"/>
      <c r="I34" s="1068"/>
      <c r="J34" s="1068"/>
      <c r="K34" s="1069"/>
    </row>
    <row r="35" spans="1:11" ht="210" customHeight="1" thickBot="1" x14ac:dyDescent="0.3">
      <c r="A35" s="1077"/>
      <c r="B35" s="1078"/>
      <c r="C35" s="1078"/>
      <c r="D35" s="1078"/>
      <c r="E35" s="1078"/>
      <c r="F35" s="1079"/>
      <c r="G35" s="1077"/>
      <c r="H35" s="1078"/>
      <c r="I35" s="1078"/>
      <c r="J35" s="1078"/>
      <c r="K35" s="1079"/>
    </row>
    <row r="36" spans="1:11" ht="121.5" customHeight="1" thickBot="1" x14ac:dyDescent="0.3">
      <c r="A36" s="1080" t="s">
        <v>1361</v>
      </c>
      <c r="B36" s="1081"/>
      <c r="C36" s="1081"/>
      <c r="D36" s="1081"/>
      <c r="E36" s="1081"/>
      <c r="F36" s="1082"/>
      <c r="G36" s="1080" t="s">
        <v>1362</v>
      </c>
      <c r="H36" s="1083"/>
      <c r="I36" s="1083"/>
      <c r="J36" s="1083"/>
      <c r="K36" s="1084"/>
    </row>
    <row r="37" spans="1:11" x14ac:dyDescent="0.25">
      <c r="A37" s="1067" t="s">
        <v>452</v>
      </c>
      <c r="B37" s="1068"/>
      <c r="C37" s="1068"/>
      <c r="D37" s="1068"/>
      <c r="E37" s="1068"/>
      <c r="F37" s="1069"/>
      <c r="G37" s="1067" t="s">
        <v>453</v>
      </c>
      <c r="H37" s="1068"/>
      <c r="I37" s="1068"/>
      <c r="J37" s="1068"/>
      <c r="K37" s="1069"/>
    </row>
    <row r="38" spans="1:11" x14ac:dyDescent="0.25">
      <c r="A38" s="1067"/>
      <c r="B38" s="1068"/>
      <c r="C38" s="1068"/>
      <c r="D38" s="1068"/>
      <c r="E38" s="1068"/>
      <c r="F38" s="1069"/>
      <c r="G38" s="1067"/>
      <c r="H38" s="1068"/>
      <c r="I38" s="1068"/>
      <c r="J38" s="1068"/>
      <c r="K38" s="1069"/>
    </row>
    <row r="39" spans="1:11" x14ac:dyDescent="0.25">
      <c r="A39" s="1067"/>
      <c r="B39" s="1068"/>
      <c r="C39" s="1068"/>
      <c r="D39" s="1068"/>
      <c r="E39" s="1068"/>
      <c r="F39" s="1069"/>
      <c r="G39" s="1067"/>
      <c r="H39" s="1068"/>
      <c r="I39" s="1068"/>
      <c r="J39" s="1068"/>
      <c r="K39" s="1069"/>
    </row>
    <row r="40" spans="1:11" x14ac:dyDescent="0.25">
      <c r="A40" s="1067"/>
      <c r="B40" s="1068"/>
      <c r="C40" s="1068"/>
      <c r="D40" s="1068"/>
      <c r="E40" s="1068"/>
      <c r="F40" s="1069"/>
      <c r="G40" s="1067"/>
      <c r="H40" s="1068"/>
      <c r="I40" s="1068"/>
      <c r="J40" s="1068"/>
      <c r="K40" s="1069"/>
    </row>
    <row r="41" spans="1:11" x14ac:dyDescent="0.25">
      <c r="A41" s="1067"/>
      <c r="B41" s="1068"/>
      <c r="C41" s="1068"/>
      <c r="D41" s="1068"/>
      <c r="E41" s="1068"/>
      <c r="F41" s="1069"/>
      <c r="G41" s="1067"/>
      <c r="H41" s="1068"/>
      <c r="I41" s="1068"/>
      <c r="J41" s="1068"/>
      <c r="K41" s="1069"/>
    </row>
    <row r="42" spans="1:11" x14ac:dyDescent="0.25">
      <c r="A42" s="1067"/>
      <c r="B42" s="1068"/>
      <c r="C42" s="1068"/>
      <c r="D42" s="1068"/>
      <c r="E42" s="1068"/>
      <c r="F42" s="1069"/>
      <c r="G42" s="1067"/>
      <c r="H42" s="1068"/>
      <c r="I42" s="1068"/>
      <c r="J42" s="1068"/>
      <c r="K42" s="1069"/>
    </row>
    <row r="43" spans="1:11" x14ac:dyDescent="0.25">
      <c r="A43" s="1067"/>
      <c r="B43" s="1068"/>
      <c r="C43" s="1068"/>
      <c r="D43" s="1068"/>
      <c r="E43" s="1068"/>
      <c r="F43" s="1069"/>
      <c r="G43" s="1067"/>
      <c r="H43" s="1068"/>
      <c r="I43" s="1068"/>
      <c r="J43" s="1068"/>
      <c r="K43" s="1069"/>
    </row>
    <row r="44" spans="1:11" x14ac:dyDescent="0.25">
      <c r="A44" s="1067"/>
      <c r="B44" s="1068"/>
      <c r="C44" s="1068"/>
      <c r="D44" s="1068"/>
      <c r="E44" s="1068"/>
      <c r="F44" s="1069"/>
      <c r="G44" s="1067"/>
      <c r="H44" s="1068"/>
      <c r="I44" s="1068"/>
      <c r="J44" s="1068"/>
      <c r="K44" s="1069"/>
    </row>
    <row r="45" spans="1:11" x14ac:dyDescent="0.25">
      <c r="A45" s="1067"/>
      <c r="B45" s="1068"/>
      <c r="C45" s="1068"/>
      <c r="D45" s="1068"/>
      <c r="E45" s="1068"/>
      <c r="F45" s="1069"/>
      <c r="G45" s="1067"/>
      <c r="H45" s="1068"/>
      <c r="I45" s="1068"/>
      <c r="J45" s="1068"/>
      <c r="K45" s="1069"/>
    </row>
    <row r="46" spans="1:11" x14ac:dyDescent="0.25">
      <c r="A46" s="1067"/>
      <c r="B46" s="1068"/>
      <c r="C46" s="1068"/>
      <c r="D46" s="1068"/>
      <c r="E46" s="1068"/>
      <c r="F46" s="1069"/>
      <c r="G46" s="1067"/>
      <c r="H46" s="1068"/>
      <c r="I46" s="1068"/>
      <c r="J46" s="1068"/>
      <c r="K46" s="1069"/>
    </row>
    <row r="47" spans="1:11" x14ac:dyDescent="0.25">
      <c r="A47" s="1067"/>
      <c r="B47" s="1068"/>
      <c r="C47" s="1068"/>
      <c r="D47" s="1068"/>
      <c r="E47" s="1068"/>
      <c r="F47" s="1069"/>
      <c r="G47" s="1067"/>
      <c r="H47" s="1068"/>
      <c r="I47" s="1068"/>
      <c r="J47" s="1068"/>
      <c r="K47" s="1069"/>
    </row>
    <row r="48" spans="1:11" x14ac:dyDescent="0.25">
      <c r="A48" s="1067"/>
      <c r="B48" s="1068"/>
      <c r="C48" s="1068"/>
      <c r="D48" s="1068"/>
      <c r="E48" s="1068"/>
      <c r="F48" s="1069"/>
      <c r="G48" s="1067"/>
      <c r="H48" s="1068"/>
      <c r="I48" s="1068"/>
      <c r="J48" s="1068"/>
      <c r="K48" s="1069"/>
    </row>
    <row r="49" spans="1:11" x14ac:dyDescent="0.25">
      <c r="A49" s="1067"/>
      <c r="B49" s="1068"/>
      <c r="C49" s="1068"/>
      <c r="D49" s="1068"/>
      <c r="E49" s="1068"/>
      <c r="F49" s="1069"/>
      <c r="G49" s="1067"/>
      <c r="H49" s="1068"/>
      <c r="I49" s="1068"/>
      <c r="J49" s="1068"/>
      <c r="K49" s="1069"/>
    </row>
    <row r="50" spans="1:11" ht="30.75" customHeight="1" thickBot="1" x14ac:dyDescent="0.3">
      <c r="A50" s="1067"/>
      <c r="B50" s="1068"/>
      <c r="C50" s="1068"/>
      <c r="D50" s="1068"/>
      <c r="E50" s="1068"/>
      <c r="F50" s="1069"/>
      <c r="G50" s="1067"/>
      <c r="H50" s="1068"/>
      <c r="I50" s="1068"/>
      <c r="J50" s="1068"/>
      <c r="K50" s="1069"/>
    </row>
    <row r="51" spans="1:11" ht="106.5" customHeight="1" thickBot="1" x14ac:dyDescent="0.3">
      <c r="A51" s="1080" t="s">
        <v>1363</v>
      </c>
      <c r="B51" s="1083"/>
      <c r="C51" s="1083"/>
      <c r="D51" s="1083"/>
      <c r="E51" s="1083"/>
      <c r="F51" s="1084"/>
      <c r="G51" s="1080" t="s">
        <v>1364</v>
      </c>
      <c r="H51" s="1083"/>
      <c r="I51" s="1083"/>
      <c r="J51" s="1083"/>
      <c r="K51" s="1084"/>
    </row>
    <row r="52" spans="1:11" x14ac:dyDescent="0.25">
      <c r="A52" s="1067" t="s">
        <v>452</v>
      </c>
      <c r="B52" s="1068"/>
      <c r="C52" s="1068"/>
      <c r="D52" s="1068"/>
      <c r="E52" s="1068"/>
      <c r="F52" s="1069"/>
      <c r="G52" s="1067" t="s">
        <v>453</v>
      </c>
      <c r="H52" s="1068"/>
      <c r="I52" s="1068"/>
      <c r="J52" s="1068"/>
      <c r="K52" s="1069"/>
    </row>
    <row r="53" spans="1:11" x14ac:dyDescent="0.25">
      <c r="A53" s="1067"/>
      <c r="B53" s="1068"/>
      <c r="C53" s="1068"/>
      <c r="D53" s="1068"/>
      <c r="E53" s="1068"/>
      <c r="F53" s="1069"/>
      <c r="G53" s="1067"/>
      <c r="H53" s="1068"/>
      <c r="I53" s="1068"/>
      <c r="J53" s="1068"/>
      <c r="K53" s="1069"/>
    </row>
    <row r="54" spans="1:11" x14ac:dyDescent="0.25">
      <c r="A54" s="1067"/>
      <c r="B54" s="1068"/>
      <c r="C54" s="1068"/>
      <c r="D54" s="1068"/>
      <c r="E54" s="1068"/>
      <c r="F54" s="1069"/>
      <c r="G54" s="1067"/>
      <c r="H54" s="1068"/>
      <c r="I54" s="1068"/>
      <c r="J54" s="1068"/>
      <c r="K54" s="1069"/>
    </row>
    <row r="55" spans="1:11" x14ac:dyDescent="0.25">
      <c r="A55" s="1067"/>
      <c r="B55" s="1068"/>
      <c r="C55" s="1068"/>
      <c r="D55" s="1068"/>
      <c r="E55" s="1068"/>
      <c r="F55" s="1069"/>
      <c r="G55" s="1067"/>
      <c r="H55" s="1068"/>
      <c r="I55" s="1068"/>
      <c r="J55" s="1068"/>
      <c r="K55" s="1069"/>
    </row>
    <row r="56" spans="1:11" x14ac:dyDescent="0.25">
      <c r="A56" s="1067"/>
      <c r="B56" s="1068"/>
      <c r="C56" s="1068"/>
      <c r="D56" s="1068"/>
      <c r="E56" s="1068"/>
      <c r="F56" s="1069"/>
      <c r="G56" s="1067"/>
      <c r="H56" s="1068"/>
      <c r="I56" s="1068"/>
      <c r="J56" s="1068"/>
      <c r="K56" s="1069"/>
    </row>
    <row r="57" spans="1:11" x14ac:dyDescent="0.25">
      <c r="A57" s="1067"/>
      <c r="B57" s="1068"/>
      <c r="C57" s="1068"/>
      <c r="D57" s="1068"/>
      <c r="E57" s="1068"/>
      <c r="F57" s="1069"/>
      <c r="G57" s="1067"/>
      <c r="H57" s="1068"/>
      <c r="I57" s="1068"/>
      <c r="J57" s="1068"/>
      <c r="K57" s="1069"/>
    </row>
    <row r="58" spans="1:11" x14ac:dyDescent="0.25">
      <c r="A58" s="1067"/>
      <c r="B58" s="1068"/>
      <c r="C58" s="1068"/>
      <c r="D58" s="1068"/>
      <c r="E58" s="1068"/>
      <c r="F58" s="1069"/>
      <c r="G58" s="1067"/>
      <c r="H58" s="1068"/>
      <c r="I58" s="1068"/>
      <c r="J58" s="1068"/>
      <c r="K58" s="1069"/>
    </row>
    <row r="59" spans="1:11" x14ac:dyDescent="0.25">
      <c r="A59" s="1067"/>
      <c r="B59" s="1068"/>
      <c r="C59" s="1068"/>
      <c r="D59" s="1068"/>
      <c r="E59" s="1068"/>
      <c r="F59" s="1069"/>
      <c r="G59" s="1067"/>
      <c r="H59" s="1068"/>
      <c r="I59" s="1068"/>
      <c r="J59" s="1068"/>
      <c r="K59" s="1069"/>
    </row>
    <row r="60" spans="1:11" x14ac:dyDescent="0.25">
      <c r="A60" s="1067"/>
      <c r="B60" s="1068"/>
      <c r="C60" s="1068"/>
      <c r="D60" s="1068"/>
      <c r="E60" s="1068"/>
      <c r="F60" s="1069"/>
      <c r="G60" s="1067"/>
      <c r="H60" s="1068"/>
      <c r="I60" s="1068"/>
      <c r="J60" s="1068"/>
      <c r="K60" s="1069"/>
    </row>
    <row r="61" spans="1:11" x14ac:dyDescent="0.25">
      <c r="A61" s="1067"/>
      <c r="B61" s="1068"/>
      <c r="C61" s="1068"/>
      <c r="D61" s="1068"/>
      <c r="E61" s="1068"/>
      <c r="F61" s="1069"/>
      <c r="G61" s="1067"/>
      <c r="H61" s="1068"/>
      <c r="I61" s="1068"/>
      <c r="J61" s="1068"/>
      <c r="K61" s="1069"/>
    </row>
    <row r="62" spans="1:11" x14ac:dyDescent="0.25">
      <c r="A62" s="1067"/>
      <c r="B62" s="1068"/>
      <c r="C62" s="1068"/>
      <c r="D62" s="1068"/>
      <c r="E62" s="1068"/>
      <c r="F62" s="1069"/>
      <c r="G62" s="1067"/>
      <c r="H62" s="1068"/>
      <c r="I62" s="1068"/>
      <c r="J62" s="1068"/>
      <c r="K62" s="1069"/>
    </row>
    <row r="63" spans="1:11" x14ac:dyDescent="0.25">
      <c r="A63" s="1067"/>
      <c r="B63" s="1068"/>
      <c r="C63" s="1068"/>
      <c r="D63" s="1068"/>
      <c r="E63" s="1068"/>
      <c r="F63" s="1069"/>
      <c r="G63" s="1067"/>
      <c r="H63" s="1068"/>
      <c r="I63" s="1068"/>
      <c r="J63" s="1068"/>
      <c r="K63" s="1069"/>
    </row>
    <row r="64" spans="1:11" x14ac:dyDescent="0.25">
      <c r="A64" s="1067"/>
      <c r="B64" s="1068"/>
      <c r="C64" s="1068"/>
      <c r="D64" s="1068"/>
      <c r="E64" s="1068"/>
      <c r="F64" s="1069"/>
      <c r="G64" s="1067"/>
      <c r="H64" s="1068"/>
      <c r="I64" s="1068"/>
      <c r="J64" s="1068"/>
      <c r="K64" s="1069"/>
    </row>
    <row r="65" spans="1:11" ht="15.75" thickBot="1" x14ac:dyDescent="0.3">
      <c r="A65" s="1067"/>
      <c r="B65" s="1068"/>
      <c r="C65" s="1068"/>
      <c r="D65" s="1068"/>
      <c r="E65" s="1068"/>
      <c r="F65" s="1069"/>
      <c r="G65" s="1067"/>
      <c r="H65" s="1068"/>
      <c r="I65" s="1068"/>
      <c r="J65" s="1068"/>
      <c r="K65" s="1069"/>
    </row>
    <row r="66" spans="1:11" ht="122.25" customHeight="1" thickBot="1" x14ac:dyDescent="0.3">
      <c r="A66" s="1080" t="s">
        <v>1365</v>
      </c>
      <c r="B66" s="1083"/>
      <c r="C66" s="1083"/>
      <c r="D66" s="1083"/>
      <c r="E66" s="1083"/>
      <c r="F66" s="1084"/>
      <c r="G66" s="1080" t="s">
        <v>1366</v>
      </c>
      <c r="H66" s="1083"/>
      <c r="I66" s="1083"/>
      <c r="J66" s="1083"/>
      <c r="K66" s="1084"/>
    </row>
    <row r="67" spans="1:11" x14ac:dyDescent="0.25">
      <c r="A67" s="1067"/>
      <c r="B67" s="1068"/>
      <c r="C67" s="1068"/>
      <c r="D67" s="1068"/>
      <c r="E67" s="1068"/>
      <c r="F67" s="1069"/>
      <c r="G67" s="1067"/>
      <c r="H67" s="1068"/>
      <c r="I67" s="1068"/>
      <c r="J67" s="1068"/>
      <c r="K67" s="1069"/>
    </row>
    <row r="68" spans="1:11" x14ac:dyDescent="0.25">
      <c r="A68" s="1067"/>
      <c r="B68" s="1068"/>
      <c r="C68" s="1068"/>
      <c r="D68" s="1068"/>
      <c r="E68" s="1068"/>
      <c r="F68" s="1069"/>
      <c r="G68" s="1067"/>
      <c r="H68" s="1068"/>
      <c r="I68" s="1068"/>
      <c r="J68" s="1068"/>
      <c r="K68" s="1069"/>
    </row>
    <row r="69" spans="1:11" x14ac:dyDescent="0.25">
      <c r="A69" s="1067"/>
      <c r="B69" s="1068"/>
      <c r="C69" s="1068"/>
      <c r="D69" s="1068"/>
      <c r="E69" s="1068"/>
      <c r="F69" s="1069"/>
      <c r="G69" s="1067"/>
      <c r="H69" s="1068"/>
      <c r="I69" s="1068"/>
      <c r="J69" s="1068"/>
      <c r="K69" s="1069"/>
    </row>
    <row r="70" spans="1:11" x14ac:dyDescent="0.25">
      <c r="A70" s="1067"/>
      <c r="B70" s="1068"/>
      <c r="C70" s="1068"/>
      <c r="D70" s="1068"/>
      <c r="E70" s="1068"/>
      <c r="F70" s="1069"/>
      <c r="G70" s="1067"/>
      <c r="H70" s="1068"/>
      <c r="I70" s="1068"/>
      <c r="J70" s="1068"/>
      <c r="K70" s="1069"/>
    </row>
    <row r="71" spans="1:11" x14ac:dyDescent="0.25">
      <c r="A71" s="1067"/>
      <c r="B71" s="1068"/>
      <c r="C71" s="1068"/>
      <c r="D71" s="1068"/>
      <c r="E71" s="1068"/>
      <c r="F71" s="1069"/>
      <c r="G71" s="1067"/>
      <c r="H71" s="1068"/>
      <c r="I71" s="1068"/>
      <c r="J71" s="1068"/>
      <c r="K71" s="1069"/>
    </row>
    <row r="72" spans="1:11" x14ac:dyDescent="0.25">
      <c r="A72" s="1067"/>
      <c r="B72" s="1068"/>
      <c r="C72" s="1068"/>
      <c r="D72" s="1068"/>
      <c r="E72" s="1068"/>
      <c r="F72" s="1069"/>
      <c r="G72" s="1067"/>
      <c r="H72" s="1068"/>
      <c r="I72" s="1068"/>
      <c r="J72" s="1068"/>
      <c r="K72" s="1069"/>
    </row>
    <row r="73" spans="1:11" x14ac:dyDescent="0.25">
      <c r="A73" s="1067"/>
      <c r="B73" s="1068"/>
      <c r="C73" s="1068"/>
      <c r="D73" s="1068"/>
      <c r="E73" s="1068"/>
      <c r="F73" s="1069"/>
      <c r="G73" s="1067"/>
      <c r="H73" s="1068"/>
      <c r="I73" s="1068"/>
      <c r="J73" s="1068"/>
      <c r="K73" s="1069"/>
    </row>
    <row r="74" spans="1:11" x14ac:dyDescent="0.25">
      <c r="A74" s="1067"/>
      <c r="B74" s="1068"/>
      <c r="C74" s="1068"/>
      <c r="D74" s="1068"/>
      <c r="E74" s="1068"/>
      <c r="F74" s="1069"/>
      <c r="G74" s="1067"/>
      <c r="H74" s="1068"/>
      <c r="I74" s="1068"/>
      <c r="J74" s="1068"/>
      <c r="K74" s="1069"/>
    </row>
    <row r="75" spans="1:11" x14ac:dyDescent="0.25">
      <c r="A75" s="1067"/>
      <c r="B75" s="1068"/>
      <c r="C75" s="1068"/>
      <c r="D75" s="1068"/>
      <c r="E75" s="1068"/>
      <c r="F75" s="1069"/>
      <c r="G75" s="1067"/>
      <c r="H75" s="1068"/>
      <c r="I75" s="1068"/>
      <c r="J75" s="1068"/>
      <c r="K75" s="1069"/>
    </row>
    <row r="76" spans="1:11" x14ac:dyDescent="0.25">
      <c r="A76" s="1067"/>
      <c r="B76" s="1068"/>
      <c r="C76" s="1068"/>
      <c r="D76" s="1068"/>
      <c r="E76" s="1068"/>
      <c r="F76" s="1069"/>
      <c r="G76" s="1067"/>
      <c r="H76" s="1068"/>
      <c r="I76" s="1068"/>
      <c r="J76" s="1068"/>
      <c r="K76" s="1069"/>
    </row>
    <row r="77" spans="1:11" x14ac:dyDescent="0.25">
      <c r="A77" s="1067"/>
      <c r="B77" s="1068"/>
      <c r="C77" s="1068"/>
      <c r="D77" s="1068"/>
      <c r="E77" s="1068"/>
      <c r="F77" s="1069"/>
      <c r="G77" s="1067"/>
      <c r="H77" s="1068"/>
      <c r="I77" s="1068"/>
      <c r="J77" s="1068"/>
      <c r="K77" s="1069"/>
    </row>
    <row r="78" spans="1:11" x14ac:dyDescent="0.25">
      <c r="A78" s="1067"/>
      <c r="B78" s="1068"/>
      <c r="C78" s="1068"/>
      <c r="D78" s="1068"/>
      <c r="E78" s="1068"/>
      <c r="F78" s="1069"/>
      <c r="G78" s="1067"/>
      <c r="H78" s="1068"/>
      <c r="I78" s="1068"/>
      <c r="J78" s="1068"/>
      <c r="K78" s="1069"/>
    </row>
    <row r="79" spans="1:11" x14ac:dyDescent="0.25">
      <c r="A79" s="1067"/>
      <c r="B79" s="1068"/>
      <c r="C79" s="1068"/>
      <c r="D79" s="1068"/>
      <c r="E79" s="1068"/>
      <c r="F79" s="1069"/>
      <c r="G79" s="1067"/>
      <c r="H79" s="1068"/>
      <c r="I79" s="1068"/>
      <c r="J79" s="1068"/>
      <c r="K79" s="1069"/>
    </row>
    <row r="80" spans="1:11" ht="15.75" thickBot="1" x14ac:dyDescent="0.3">
      <c r="A80" s="1067"/>
      <c r="B80" s="1068"/>
      <c r="C80" s="1068"/>
      <c r="D80" s="1068"/>
      <c r="E80" s="1068"/>
      <c r="F80" s="1069"/>
      <c r="G80" s="1067"/>
      <c r="H80" s="1068"/>
      <c r="I80" s="1068"/>
      <c r="J80" s="1068"/>
      <c r="K80" s="1069"/>
    </row>
    <row r="81" spans="1:11" x14ac:dyDescent="0.25">
      <c r="A81" s="972" t="s">
        <v>1367</v>
      </c>
      <c r="B81" s="1070"/>
      <c r="C81" s="1070"/>
      <c r="D81" s="1070"/>
      <c r="E81" s="1070"/>
      <c r="F81" s="1071"/>
      <c r="G81" s="972" t="s">
        <v>1368</v>
      </c>
      <c r="H81" s="1070"/>
      <c r="I81" s="1070"/>
      <c r="J81" s="1070"/>
      <c r="K81" s="1071"/>
    </row>
    <row r="82" spans="1:11" ht="60.75" customHeight="1" thickBot="1" x14ac:dyDescent="0.3">
      <c r="A82" s="973"/>
      <c r="B82" s="1072"/>
      <c r="C82" s="1072"/>
      <c r="D82" s="1072"/>
      <c r="E82" s="1072"/>
      <c r="F82" s="1073"/>
      <c r="G82" s="973"/>
      <c r="H82" s="1072"/>
      <c r="I82" s="1072"/>
      <c r="J82" s="1072"/>
      <c r="K82" s="1073"/>
    </row>
    <row r="83" spans="1:11" x14ac:dyDescent="0.25">
      <c r="A83" s="1067"/>
      <c r="B83" s="1068"/>
      <c r="C83" s="1068"/>
      <c r="D83" s="1068"/>
      <c r="E83" s="1068"/>
      <c r="F83" s="1069"/>
      <c r="G83" s="1067"/>
      <c r="H83" s="1068"/>
      <c r="I83" s="1068"/>
      <c r="J83" s="1068"/>
      <c r="K83" s="1069"/>
    </row>
    <row r="84" spans="1:11" x14ac:dyDescent="0.25">
      <c r="A84" s="1067"/>
      <c r="B84" s="1068"/>
      <c r="C84" s="1068"/>
      <c r="D84" s="1068"/>
      <c r="E84" s="1068"/>
      <c r="F84" s="1069"/>
      <c r="G84" s="1067"/>
      <c r="H84" s="1068"/>
      <c r="I84" s="1068"/>
      <c r="J84" s="1068"/>
      <c r="K84" s="1069"/>
    </row>
    <row r="85" spans="1:11" x14ac:dyDescent="0.25">
      <c r="A85" s="1067"/>
      <c r="B85" s="1068"/>
      <c r="C85" s="1068"/>
      <c r="D85" s="1068"/>
      <c r="E85" s="1068"/>
      <c r="F85" s="1069"/>
      <c r="G85" s="1067"/>
      <c r="H85" s="1068"/>
      <c r="I85" s="1068"/>
      <c r="J85" s="1068"/>
      <c r="K85" s="1069"/>
    </row>
    <row r="86" spans="1:11" x14ac:dyDescent="0.25">
      <c r="A86" s="1067"/>
      <c r="B86" s="1068"/>
      <c r="C86" s="1068"/>
      <c r="D86" s="1068"/>
      <c r="E86" s="1068"/>
      <c r="F86" s="1069"/>
      <c r="G86" s="1067"/>
      <c r="H86" s="1068"/>
      <c r="I86" s="1068"/>
      <c r="J86" s="1068"/>
      <c r="K86" s="1069"/>
    </row>
    <row r="87" spans="1:11" x14ac:dyDescent="0.25">
      <c r="A87" s="1067"/>
      <c r="B87" s="1068"/>
      <c r="C87" s="1068"/>
      <c r="D87" s="1068"/>
      <c r="E87" s="1068"/>
      <c r="F87" s="1069"/>
      <c r="G87" s="1067"/>
      <c r="H87" s="1068"/>
      <c r="I87" s="1068"/>
      <c r="J87" s="1068"/>
      <c r="K87" s="1069"/>
    </row>
    <row r="88" spans="1:11" x14ac:dyDescent="0.25">
      <c r="A88" s="1067"/>
      <c r="B88" s="1068"/>
      <c r="C88" s="1068"/>
      <c r="D88" s="1068"/>
      <c r="E88" s="1068"/>
      <c r="F88" s="1069"/>
      <c r="G88" s="1067"/>
      <c r="H88" s="1068"/>
      <c r="I88" s="1068"/>
      <c r="J88" s="1068"/>
      <c r="K88" s="1069"/>
    </row>
    <row r="89" spans="1:11" x14ac:dyDescent="0.25">
      <c r="A89" s="1067"/>
      <c r="B89" s="1068"/>
      <c r="C89" s="1068"/>
      <c r="D89" s="1068"/>
      <c r="E89" s="1068"/>
      <c r="F89" s="1069"/>
      <c r="G89" s="1067"/>
      <c r="H89" s="1068"/>
      <c r="I89" s="1068"/>
      <c r="J89" s="1068"/>
      <c r="K89" s="1069"/>
    </row>
    <row r="90" spans="1:11" x14ac:dyDescent="0.25">
      <c r="A90" s="1067"/>
      <c r="B90" s="1068"/>
      <c r="C90" s="1068"/>
      <c r="D90" s="1068"/>
      <c r="E90" s="1068"/>
      <c r="F90" s="1069"/>
      <c r="G90" s="1067"/>
      <c r="H90" s="1068"/>
      <c r="I90" s="1068"/>
      <c r="J90" s="1068"/>
      <c r="K90" s="1069"/>
    </row>
    <row r="91" spans="1:11" x14ac:dyDescent="0.25">
      <c r="A91" s="1067"/>
      <c r="B91" s="1068"/>
      <c r="C91" s="1068"/>
      <c r="D91" s="1068"/>
      <c r="E91" s="1068"/>
      <c r="F91" s="1069"/>
      <c r="G91" s="1067"/>
      <c r="H91" s="1068"/>
      <c r="I91" s="1068"/>
      <c r="J91" s="1068"/>
      <c r="K91" s="1069"/>
    </row>
    <row r="92" spans="1:11" x14ac:dyDescent="0.25">
      <c r="A92" s="1067"/>
      <c r="B92" s="1068"/>
      <c r="C92" s="1068"/>
      <c r="D92" s="1068"/>
      <c r="E92" s="1068"/>
      <c r="F92" s="1069"/>
      <c r="G92" s="1067"/>
      <c r="H92" s="1068"/>
      <c r="I92" s="1068"/>
      <c r="J92" s="1068"/>
      <c r="K92" s="1069"/>
    </row>
    <row r="93" spans="1:11" x14ac:dyDescent="0.25">
      <c r="A93" s="1067"/>
      <c r="B93" s="1068"/>
      <c r="C93" s="1068"/>
      <c r="D93" s="1068"/>
      <c r="E93" s="1068"/>
      <c r="F93" s="1069"/>
      <c r="G93" s="1067"/>
      <c r="H93" s="1068"/>
      <c r="I93" s="1068"/>
      <c r="J93" s="1068"/>
      <c r="K93" s="1069"/>
    </row>
    <row r="94" spans="1:11" x14ac:dyDescent="0.25">
      <c r="A94" s="1067"/>
      <c r="B94" s="1068"/>
      <c r="C94" s="1068"/>
      <c r="D94" s="1068"/>
      <c r="E94" s="1068"/>
      <c r="F94" s="1069"/>
      <c r="G94" s="1067"/>
      <c r="H94" s="1068"/>
      <c r="I94" s="1068"/>
      <c r="J94" s="1068"/>
      <c r="K94" s="1069"/>
    </row>
    <row r="95" spans="1:11" x14ac:dyDescent="0.25">
      <c r="A95" s="1067"/>
      <c r="B95" s="1068"/>
      <c r="C95" s="1068"/>
      <c r="D95" s="1068"/>
      <c r="E95" s="1068"/>
      <c r="F95" s="1069"/>
      <c r="G95" s="1067"/>
      <c r="H95" s="1068"/>
      <c r="I95" s="1068"/>
      <c r="J95" s="1068"/>
      <c r="K95" s="1069"/>
    </row>
    <row r="96" spans="1:11" ht="15.75" thickBot="1" x14ac:dyDescent="0.3">
      <c r="A96" s="1067"/>
      <c r="B96" s="1068"/>
      <c r="C96" s="1068"/>
      <c r="D96" s="1068"/>
      <c r="E96" s="1068"/>
      <c r="F96" s="1069"/>
      <c r="G96" s="1067"/>
      <c r="H96" s="1068"/>
      <c r="I96" s="1068"/>
      <c r="J96" s="1068"/>
      <c r="K96" s="1069"/>
    </row>
    <row r="97" spans="1:11" ht="15" customHeight="1" x14ac:dyDescent="0.25">
      <c r="A97" s="1085" t="s">
        <v>1369</v>
      </c>
      <c r="B97" s="1086"/>
      <c r="C97" s="1086"/>
      <c r="D97" s="1086"/>
      <c r="E97" s="1086"/>
      <c r="F97" s="1087"/>
      <c r="G97" s="972" t="s">
        <v>1370</v>
      </c>
      <c r="H97" s="1070"/>
      <c r="I97" s="1070"/>
      <c r="J97" s="1070"/>
      <c r="K97" s="359"/>
    </row>
    <row r="98" spans="1:11" ht="99.75" customHeight="1" thickBot="1" x14ac:dyDescent="0.3">
      <c r="A98" s="1088"/>
      <c r="B98" s="1089"/>
      <c r="C98" s="1089"/>
      <c r="D98" s="1089"/>
      <c r="E98" s="1089"/>
      <c r="F98" s="1090"/>
      <c r="G98" s="973"/>
      <c r="H98" s="1072"/>
      <c r="I98" s="1072"/>
      <c r="J98" s="1072"/>
      <c r="K98" s="360"/>
    </row>
    <row r="99" spans="1:11" x14ac:dyDescent="0.25">
      <c r="A99" s="1067"/>
      <c r="B99" s="1068"/>
      <c r="C99" s="1068"/>
      <c r="D99" s="1068"/>
      <c r="E99" s="1068"/>
      <c r="F99" s="1069"/>
      <c r="G99" s="1067"/>
      <c r="H99" s="1068"/>
      <c r="I99" s="1068"/>
      <c r="J99" s="1068"/>
      <c r="K99" s="1069"/>
    </row>
    <row r="100" spans="1:11" x14ac:dyDescent="0.25">
      <c r="A100" s="1067"/>
      <c r="B100" s="1068"/>
      <c r="C100" s="1068"/>
      <c r="D100" s="1068"/>
      <c r="E100" s="1068"/>
      <c r="F100" s="1069"/>
      <c r="G100" s="1067"/>
      <c r="H100" s="1068"/>
      <c r="I100" s="1068"/>
      <c r="J100" s="1068"/>
      <c r="K100" s="1069"/>
    </row>
    <row r="101" spans="1:11" x14ac:dyDescent="0.25">
      <c r="A101" s="1067"/>
      <c r="B101" s="1068"/>
      <c r="C101" s="1068"/>
      <c r="D101" s="1068"/>
      <c r="E101" s="1068"/>
      <c r="F101" s="1069"/>
      <c r="G101" s="1067"/>
      <c r="H101" s="1068"/>
      <c r="I101" s="1068"/>
      <c r="J101" s="1068"/>
      <c r="K101" s="1069"/>
    </row>
    <row r="102" spans="1:11" x14ac:dyDescent="0.25">
      <c r="A102" s="1067"/>
      <c r="B102" s="1068"/>
      <c r="C102" s="1068"/>
      <c r="D102" s="1068"/>
      <c r="E102" s="1068"/>
      <c r="F102" s="1069"/>
      <c r="G102" s="1067"/>
      <c r="H102" s="1068"/>
      <c r="I102" s="1068"/>
      <c r="J102" s="1068"/>
      <c r="K102" s="1069"/>
    </row>
    <row r="103" spans="1:11" x14ac:dyDescent="0.25">
      <c r="A103" s="1067"/>
      <c r="B103" s="1068"/>
      <c r="C103" s="1068"/>
      <c r="D103" s="1068"/>
      <c r="E103" s="1068"/>
      <c r="F103" s="1069"/>
      <c r="G103" s="1067"/>
      <c r="H103" s="1068"/>
      <c r="I103" s="1068"/>
      <c r="J103" s="1068"/>
      <c r="K103" s="1069"/>
    </row>
    <row r="104" spans="1:11" x14ac:dyDescent="0.25">
      <c r="A104" s="1067"/>
      <c r="B104" s="1068"/>
      <c r="C104" s="1068"/>
      <c r="D104" s="1068"/>
      <c r="E104" s="1068"/>
      <c r="F104" s="1069"/>
      <c r="G104" s="1067"/>
      <c r="H104" s="1068"/>
      <c r="I104" s="1068"/>
      <c r="J104" s="1068"/>
      <c r="K104" s="1069"/>
    </row>
    <row r="105" spans="1:11" x14ac:dyDescent="0.25">
      <c r="A105" s="1067"/>
      <c r="B105" s="1068"/>
      <c r="C105" s="1068"/>
      <c r="D105" s="1068"/>
      <c r="E105" s="1068"/>
      <c r="F105" s="1069"/>
      <c r="G105" s="1067"/>
      <c r="H105" s="1068"/>
      <c r="I105" s="1068"/>
      <c r="J105" s="1068"/>
      <c r="K105" s="1069"/>
    </row>
    <row r="106" spans="1:11" x14ac:dyDescent="0.25">
      <c r="A106" s="1067"/>
      <c r="B106" s="1068"/>
      <c r="C106" s="1068"/>
      <c r="D106" s="1068"/>
      <c r="E106" s="1068"/>
      <c r="F106" s="1069"/>
      <c r="G106" s="1067"/>
      <c r="H106" s="1068"/>
      <c r="I106" s="1068"/>
      <c r="J106" s="1068"/>
      <c r="K106" s="1069"/>
    </row>
    <row r="107" spans="1:11" x14ac:dyDescent="0.25">
      <c r="A107" s="1067"/>
      <c r="B107" s="1068"/>
      <c r="C107" s="1068"/>
      <c r="D107" s="1068"/>
      <c r="E107" s="1068"/>
      <c r="F107" s="1069"/>
      <c r="G107" s="1067"/>
      <c r="H107" s="1068"/>
      <c r="I107" s="1068"/>
      <c r="J107" s="1068"/>
      <c r="K107" s="1069"/>
    </row>
    <row r="108" spans="1:11" x14ac:dyDescent="0.25">
      <c r="A108" s="1067"/>
      <c r="B108" s="1068"/>
      <c r="C108" s="1068"/>
      <c r="D108" s="1068"/>
      <c r="E108" s="1068"/>
      <c r="F108" s="1069"/>
      <c r="G108" s="1067"/>
      <c r="H108" s="1068"/>
      <c r="I108" s="1068"/>
      <c r="J108" s="1068"/>
      <c r="K108" s="1069"/>
    </row>
    <row r="109" spans="1:11" x14ac:dyDescent="0.25">
      <c r="A109" s="1067"/>
      <c r="B109" s="1068"/>
      <c r="C109" s="1068"/>
      <c r="D109" s="1068"/>
      <c r="E109" s="1068"/>
      <c r="F109" s="1069"/>
      <c r="G109" s="1067"/>
      <c r="H109" s="1068"/>
      <c r="I109" s="1068"/>
      <c r="J109" s="1068"/>
      <c r="K109" s="1069"/>
    </row>
    <row r="110" spans="1:11" x14ac:dyDescent="0.25">
      <c r="A110" s="1067"/>
      <c r="B110" s="1068"/>
      <c r="C110" s="1068"/>
      <c r="D110" s="1068"/>
      <c r="E110" s="1068"/>
      <c r="F110" s="1069"/>
      <c r="G110" s="1067"/>
      <c r="H110" s="1068"/>
      <c r="I110" s="1068"/>
      <c r="J110" s="1068"/>
      <c r="K110" s="1069"/>
    </row>
    <row r="111" spans="1:11" ht="42" customHeight="1" thickBot="1" x14ac:dyDescent="0.3">
      <c r="A111" s="1067"/>
      <c r="B111" s="1068"/>
      <c r="C111" s="1068"/>
      <c r="D111" s="1068"/>
      <c r="E111" s="1068"/>
      <c r="F111" s="1069"/>
      <c r="G111" s="1067"/>
      <c r="H111" s="1068"/>
      <c r="I111" s="1068"/>
      <c r="J111" s="1068"/>
      <c r="K111" s="1069"/>
    </row>
    <row r="112" spans="1:11" ht="92.25" customHeight="1" thickBot="1" x14ac:dyDescent="0.3">
      <c r="A112" s="1080" t="s">
        <v>1371</v>
      </c>
      <c r="B112" s="1083"/>
      <c r="C112" s="1083"/>
      <c r="D112" s="1083"/>
      <c r="E112" s="1083"/>
      <c r="F112" s="1084"/>
      <c r="G112" s="1080" t="s">
        <v>1372</v>
      </c>
      <c r="H112" s="1083"/>
      <c r="I112" s="1083"/>
      <c r="J112" s="1083"/>
      <c r="K112" s="1084"/>
    </row>
    <row r="113" spans="1:11" x14ac:dyDescent="0.25">
      <c r="A113" s="1067"/>
      <c r="B113" s="1068"/>
      <c r="C113" s="1068"/>
      <c r="D113" s="1068"/>
      <c r="E113" s="1068"/>
      <c r="F113" s="1069"/>
      <c r="G113" s="1067"/>
      <c r="H113" s="1068"/>
      <c r="I113" s="1068"/>
      <c r="J113" s="1068"/>
      <c r="K113" s="1069"/>
    </row>
    <row r="114" spans="1:11" x14ac:dyDescent="0.25">
      <c r="A114" s="1067"/>
      <c r="B114" s="1068"/>
      <c r="C114" s="1068"/>
      <c r="D114" s="1068"/>
      <c r="E114" s="1068"/>
      <c r="F114" s="1069"/>
      <c r="G114" s="1067"/>
      <c r="H114" s="1068"/>
      <c r="I114" s="1068"/>
      <c r="J114" s="1068"/>
      <c r="K114" s="1069"/>
    </row>
    <row r="115" spans="1:11" x14ac:dyDescent="0.25">
      <c r="A115" s="1067"/>
      <c r="B115" s="1068"/>
      <c r="C115" s="1068"/>
      <c r="D115" s="1068"/>
      <c r="E115" s="1068"/>
      <c r="F115" s="1069"/>
      <c r="G115" s="1067"/>
      <c r="H115" s="1068"/>
      <c r="I115" s="1068"/>
      <c r="J115" s="1068"/>
      <c r="K115" s="1069"/>
    </row>
    <row r="116" spans="1:11" x14ac:dyDescent="0.25">
      <c r="A116" s="1067"/>
      <c r="B116" s="1068"/>
      <c r="C116" s="1068"/>
      <c r="D116" s="1068"/>
      <c r="E116" s="1068"/>
      <c r="F116" s="1069"/>
      <c r="G116" s="1067"/>
      <c r="H116" s="1068"/>
      <c r="I116" s="1068"/>
      <c r="J116" s="1068"/>
      <c r="K116" s="1069"/>
    </row>
    <row r="117" spans="1:11" x14ac:dyDescent="0.25">
      <c r="A117" s="1067"/>
      <c r="B117" s="1068"/>
      <c r="C117" s="1068"/>
      <c r="D117" s="1068"/>
      <c r="E117" s="1068"/>
      <c r="F117" s="1069"/>
      <c r="G117" s="1067"/>
      <c r="H117" s="1068"/>
      <c r="I117" s="1068"/>
      <c r="J117" s="1068"/>
      <c r="K117" s="1069"/>
    </row>
    <row r="118" spans="1:11" x14ac:dyDescent="0.25">
      <c r="A118" s="1067"/>
      <c r="B118" s="1068"/>
      <c r="C118" s="1068"/>
      <c r="D118" s="1068"/>
      <c r="E118" s="1068"/>
      <c r="F118" s="1069"/>
      <c r="G118" s="1067"/>
      <c r="H118" s="1068"/>
      <c r="I118" s="1068"/>
      <c r="J118" s="1068"/>
      <c r="K118" s="1069"/>
    </row>
    <row r="119" spans="1:11" x14ac:dyDescent="0.25">
      <c r="A119" s="1067"/>
      <c r="B119" s="1068"/>
      <c r="C119" s="1068"/>
      <c r="D119" s="1068"/>
      <c r="E119" s="1068"/>
      <c r="F119" s="1069"/>
      <c r="G119" s="1067"/>
      <c r="H119" s="1068"/>
      <c r="I119" s="1068"/>
      <c r="J119" s="1068"/>
      <c r="K119" s="1069"/>
    </row>
    <row r="120" spans="1:11" x14ac:dyDescent="0.25">
      <c r="A120" s="1067"/>
      <c r="B120" s="1068"/>
      <c r="C120" s="1068"/>
      <c r="D120" s="1068"/>
      <c r="E120" s="1068"/>
      <c r="F120" s="1069"/>
      <c r="G120" s="1067"/>
      <c r="H120" s="1068"/>
      <c r="I120" s="1068"/>
      <c r="J120" s="1068"/>
      <c r="K120" s="1069"/>
    </row>
    <row r="121" spans="1:11" x14ac:dyDescent="0.25">
      <c r="A121" s="1067"/>
      <c r="B121" s="1068"/>
      <c r="C121" s="1068"/>
      <c r="D121" s="1068"/>
      <c r="E121" s="1068"/>
      <c r="F121" s="1069"/>
      <c r="G121" s="1067"/>
      <c r="H121" s="1068"/>
      <c r="I121" s="1068"/>
      <c r="J121" s="1068"/>
      <c r="K121" s="1069"/>
    </row>
    <row r="122" spans="1:11" x14ac:dyDescent="0.25">
      <c r="A122" s="1067"/>
      <c r="B122" s="1068"/>
      <c r="C122" s="1068"/>
      <c r="D122" s="1068"/>
      <c r="E122" s="1068"/>
      <c r="F122" s="1069"/>
      <c r="G122" s="1067"/>
      <c r="H122" s="1068"/>
      <c r="I122" s="1068"/>
      <c r="J122" s="1068"/>
      <c r="K122" s="1069"/>
    </row>
    <row r="123" spans="1:11" x14ac:dyDescent="0.25">
      <c r="A123" s="1067"/>
      <c r="B123" s="1068"/>
      <c r="C123" s="1068"/>
      <c r="D123" s="1068"/>
      <c r="E123" s="1068"/>
      <c r="F123" s="1069"/>
      <c r="G123" s="1067"/>
      <c r="H123" s="1068"/>
      <c r="I123" s="1068"/>
      <c r="J123" s="1068"/>
      <c r="K123" s="1069"/>
    </row>
    <row r="124" spans="1:11" x14ac:dyDescent="0.25">
      <c r="A124" s="1067"/>
      <c r="B124" s="1068"/>
      <c r="C124" s="1068"/>
      <c r="D124" s="1068"/>
      <c r="E124" s="1068"/>
      <c r="F124" s="1069"/>
      <c r="G124" s="1067"/>
      <c r="H124" s="1068"/>
      <c r="I124" s="1068"/>
      <c r="J124" s="1068"/>
      <c r="K124" s="1069"/>
    </row>
    <row r="125" spans="1:11" x14ac:dyDescent="0.25">
      <c r="A125" s="1067"/>
      <c r="B125" s="1068"/>
      <c r="C125" s="1068"/>
      <c r="D125" s="1068"/>
      <c r="E125" s="1068"/>
      <c r="F125" s="1069"/>
      <c r="G125" s="1067"/>
      <c r="H125" s="1068"/>
      <c r="I125" s="1068"/>
      <c r="J125" s="1068"/>
      <c r="K125" s="1069"/>
    </row>
    <row r="126" spans="1:11" ht="15.75" thickBot="1" x14ac:dyDescent="0.3">
      <c r="A126" s="1067"/>
      <c r="B126" s="1068"/>
      <c r="C126" s="1068"/>
      <c r="D126" s="1068"/>
      <c r="E126" s="1068"/>
      <c r="F126" s="1069"/>
      <c r="G126" s="1067"/>
      <c r="H126" s="1068"/>
      <c r="I126" s="1068"/>
      <c r="J126" s="1068"/>
      <c r="K126" s="1069"/>
    </row>
    <row r="127" spans="1:11" x14ac:dyDescent="0.25">
      <c r="A127" s="972" t="s">
        <v>1373</v>
      </c>
      <c r="B127" s="1070"/>
      <c r="C127" s="1070"/>
      <c r="D127" s="1070"/>
      <c r="E127" s="1070"/>
      <c r="F127" s="1071"/>
      <c r="G127" s="972" t="s">
        <v>1374</v>
      </c>
      <c r="H127" s="1070"/>
      <c r="I127" s="1070"/>
      <c r="J127" s="1070"/>
      <c r="K127" s="1071"/>
    </row>
    <row r="128" spans="1:11" ht="48" customHeight="1" thickBot="1" x14ac:dyDescent="0.3">
      <c r="A128" s="973"/>
      <c r="B128" s="1072"/>
      <c r="C128" s="1072"/>
      <c r="D128" s="1072"/>
      <c r="E128" s="1072"/>
      <c r="F128" s="1073"/>
      <c r="G128" s="973"/>
      <c r="H128" s="1072"/>
      <c r="I128" s="1072"/>
      <c r="J128" s="1072"/>
      <c r="K128" s="1073"/>
    </row>
    <row r="129" spans="1:11" x14ac:dyDescent="0.25">
      <c r="A129" s="1067"/>
      <c r="B129" s="1068"/>
      <c r="C129" s="1068"/>
      <c r="D129" s="1068"/>
      <c r="E129" s="1068"/>
      <c r="F129" s="1069"/>
      <c r="G129" s="1067"/>
      <c r="H129" s="1068"/>
      <c r="I129" s="1068"/>
      <c r="J129" s="1068"/>
      <c r="K129" s="1069"/>
    </row>
    <row r="130" spans="1:11" x14ac:dyDescent="0.25">
      <c r="A130" s="1067"/>
      <c r="B130" s="1068"/>
      <c r="C130" s="1068"/>
      <c r="D130" s="1068"/>
      <c r="E130" s="1068"/>
      <c r="F130" s="1069"/>
      <c r="G130" s="1067"/>
      <c r="H130" s="1068"/>
      <c r="I130" s="1068"/>
      <c r="J130" s="1068"/>
      <c r="K130" s="1069"/>
    </row>
    <row r="131" spans="1:11" x14ac:dyDescent="0.25">
      <c r="A131" s="1067"/>
      <c r="B131" s="1068"/>
      <c r="C131" s="1068"/>
      <c r="D131" s="1068"/>
      <c r="E131" s="1068"/>
      <c r="F131" s="1069"/>
      <c r="G131" s="1067"/>
      <c r="H131" s="1068"/>
      <c r="I131" s="1068"/>
      <c r="J131" s="1068"/>
      <c r="K131" s="1069"/>
    </row>
    <row r="132" spans="1:11" x14ac:dyDescent="0.25">
      <c r="A132" s="1067"/>
      <c r="B132" s="1068"/>
      <c r="C132" s="1068"/>
      <c r="D132" s="1068"/>
      <c r="E132" s="1068"/>
      <c r="F132" s="1069"/>
      <c r="G132" s="1067"/>
      <c r="H132" s="1068"/>
      <c r="I132" s="1068"/>
      <c r="J132" s="1068"/>
      <c r="K132" s="1069"/>
    </row>
    <row r="133" spans="1:11" x14ac:dyDescent="0.25">
      <c r="A133" s="1067"/>
      <c r="B133" s="1068"/>
      <c r="C133" s="1068"/>
      <c r="D133" s="1068"/>
      <c r="E133" s="1068"/>
      <c r="F133" s="1069"/>
      <c r="G133" s="1067"/>
      <c r="H133" s="1068"/>
      <c r="I133" s="1068"/>
      <c r="J133" s="1068"/>
      <c r="K133" s="1069"/>
    </row>
    <row r="134" spans="1:11" x14ac:dyDescent="0.25">
      <c r="A134" s="1067"/>
      <c r="B134" s="1068"/>
      <c r="C134" s="1068"/>
      <c r="D134" s="1068"/>
      <c r="E134" s="1068"/>
      <c r="F134" s="1069"/>
      <c r="G134" s="1067"/>
      <c r="H134" s="1068"/>
      <c r="I134" s="1068"/>
      <c r="J134" s="1068"/>
      <c r="K134" s="1069"/>
    </row>
    <row r="135" spans="1:11" x14ac:dyDescent="0.25">
      <c r="A135" s="1067"/>
      <c r="B135" s="1068"/>
      <c r="C135" s="1068"/>
      <c r="D135" s="1068"/>
      <c r="E135" s="1068"/>
      <c r="F135" s="1069"/>
      <c r="G135" s="1067"/>
      <c r="H135" s="1068"/>
      <c r="I135" s="1068"/>
      <c r="J135" s="1068"/>
      <c r="K135" s="1069"/>
    </row>
    <row r="136" spans="1:11" x14ac:dyDescent="0.25">
      <c r="A136" s="1067"/>
      <c r="B136" s="1068"/>
      <c r="C136" s="1068"/>
      <c r="D136" s="1068"/>
      <c r="E136" s="1068"/>
      <c r="F136" s="1069"/>
      <c r="G136" s="1067"/>
      <c r="H136" s="1068"/>
      <c r="I136" s="1068"/>
      <c r="J136" s="1068"/>
      <c r="K136" s="1069"/>
    </row>
    <row r="137" spans="1:11" x14ac:dyDescent="0.25">
      <c r="A137" s="1067"/>
      <c r="B137" s="1068"/>
      <c r="C137" s="1068"/>
      <c r="D137" s="1068"/>
      <c r="E137" s="1068"/>
      <c r="F137" s="1069"/>
      <c r="G137" s="1067"/>
      <c r="H137" s="1068"/>
      <c r="I137" s="1068"/>
      <c r="J137" s="1068"/>
      <c r="K137" s="1069"/>
    </row>
    <row r="138" spans="1:11" x14ac:dyDescent="0.25">
      <c r="A138" s="1067"/>
      <c r="B138" s="1068"/>
      <c r="C138" s="1068"/>
      <c r="D138" s="1068"/>
      <c r="E138" s="1068"/>
      <c r="F138" s="1069"/>
      <c r="G138" s="1067"/>
      <c r="H138" s="1068"/>
      <c r="I138" s="1068"/>
      <c r="J138" s="1068"/>
      <c r="K138" s="1069"/>
    </row>
    <row r="139" spans="1:11" x14ac:dyDescent="0.25">
      <c r="A139" s="1067"/>
      <c r="B139" s="1068"/>
      <c r="C139" s="1068"/>
      <c r="D139" s="1068"/>
      <c r="E139" s="1068"/>
      <c r="F139" s="1069"/>
      <c r="G139" s="1067"/>
      <c r="H139" s="1068"/>
      <c r="I139" s="1068"/>
      <c r="J139" s="1068"/>
      <c r="K139" s="1069"/>
    </row>
    <row r="140" spans="1:11" x14ac:dyDescent="0.25">
      <c r="A140" s="1067"/>
      <c r="B140" s="1068"/>
      <c r="C140" s="1068"/>
      <c r="D140" s="1068"/>
      <c r="E140" s="1068"/>
      <c r="F140" s="1069"/>
      <c r="G140" s="1067"/>
      <c r="H140" s="1068"/>
      <c r="I140" s="1068"/>
      <c r="J140" s="1068"/>
      <c r="K140" s="1069"/>
    </row>
    <row r="141" spans="1:11" x14ac:dyDescent="0.25">
      <c r="A141" s="1067"/>
      <c r="B141" s="1068"/>
      <c r="C141" s="1068"/>
      <c r="D141" s="1068"/>
      <c r="E141" s="1068"/>
      <c r="F141" s="1069"/>
      <c r="G141" s="1067"/>
      <c r="H141" s="1068"/>
      <c r="I141" s="1068"/>
      <c r="J141" s="1068"/>
      <c r="K141" s="1069"/>
    </row>
    <row r="142" spans="1:11" ht="15.75" thickBot="1" x14ac:dyDescent="0.3">
      <c r="A142" s="1067"/>
      <c r="B142" s="1068"/>
      <c r="C142" s="1068"/>
      <c r="D142" s="1068"/>
      <c r="E142" s="1068"/>
      <c r="F142" s="1069"/>
      <c r="G142" s="1067"/>
      <c r="H142" s="1068"/>
      <c r="I142" s="1068"/>
      <c r="J142" s="1068"/>
      <c r="K142" s="1069"/>
    </row>
    <row r="143" spans="1:11" x14ac:dyDescent="0.25">
      <c r="A143" s="1091" t="s">
        <v>1375</v>
      </c>
      <c r="B143" s="1092"/>
      <c r="C143" s="1092"/>
      <c r="D143" s="1092"/>
      <c r="E143" s="1092"/>
      <c r="F143" s="1093"/>
      <c r="G143" s="1097" t="s">
        <v>1376</v>
      </c>
      <c r="H143" s="1098"/>
      <c r="I143" s="1098"/>
      <c r="J143" s="1098"/>
      <c r="K143" s="1099"/>
    </row>
    <row r="144" spans="1:11" ht="99" customHeight="1" thickBot="1" x14ac:dyDescent="0.3">
      <c r="A144" s="1094"/>
      <c r="B144" s="1095"/>
      <c r="C144" s="1095"/>
      <c r="D144" s="1095"/>
      <c r="E144" s="1095"/>
      <c r="F144" s="1096"/>
      <c r="G144" s="1100"/>
      <c r="H144" s="1101"/>
      <c r="I144" s="1101"/>
      <c r="J144" s="1101"/>
      <c r="K144" s="1102"/>
    </row>
    <row r="145" spans="1:11" x14ac:dyDescent="0.25">
      <c r="A145" s="1067"/>
      <c r="B145" s="1068"/>
      <c r="C145" s="1068"/>
      <c r="D145" s="1068"/>
      <c r="E145" s="1068"/>
      <c r="F145" s="1069"/>
      <c r="G145" s="1067"/>
      <c r="H145" s="1068"/>
      <c r="I145" s="1068"/>
      <c r="J145" s="1068"/>
      <c r="K145" s="1069"/>
    </row>
    <row r="146" spans="1:11" x14ac:dyDescent="0.25">
      <c r="A146" s="1067"/>
      <c r="B146" s="1068"/>
      <c r="C146" s="1068"/>
      <c r="D146" s="1068"/>
      <c r="E146" s="1068"/>
      <c r="F146" s="1069"/>
      <c r="G146" s="1067"/>
      <c r="H146" s="1068"/>
      <c r="I146" s="1068"/>
      <c r="J146" s="1068"/>
      <c r="K146" s="1069"/>
    </row>
    <row r="147" spans="1:11" x14ac:dyDescent="0.25">
      <c r="A147" s="1067"/>
      <c r="B147" s="1068"/>
      <c r="C147" s="1068"/>
      <c r="D147" s="1068"/>
      <c r="E147" s="1068"/>
      <c r="F147" s="1069"/>
      <c r="G147" s="1067"/>
      <c r="H147" s="1068"/>
      <c r="I147" s="1068"/>
      <c r="J147" s="1068"/>
      <c r="K147" s="1069"/>
    </row>
    <row r="148" spans="1:11" x14ac:dyDescent="0.25">
      <c r="A148" s="1067"/>
      <c r="B148" s="1068"/>
      <c r="C148" s="1068"/>
      <c r="D148" s="1068"/>
      <c r="E148" s="1068"/>
      <c r="F148" s="1069"/>
      <c r="G148" s="1067"/>
      <c r="H148" s="1068"/>
      <c r="I148" s="1068"/>
      <c r="J148" s="1068"/>
      <c r="K148" s="1069"/>
    </row>
    <row r="149" spans="1:11" x14ac:dyDescent="0.25">
      <c r="A149" s="1067"/>
      <c r="B149" s="1068"/>
      <c r="C149" s="1068"/>
      <c r="D149" s="1068"/>
      <c r="E149" s="1068"/>
      <c r="F149" s="1069"/>
      <c r="G149" s="1067"/>
      <c r="H149" s="1068"/>
      <c r="I149" s="1068"/>
      <c r="J149" s="1068"/>
      <c r="K149" s="1069"/>
    </row>
    <row r="150" spans="1:11" x14ac:dyDescent="0.25">
      <c r="A150" s="1067"/>
      <c r="B150" s="1068"/>
      <c r="C150" s="1068"/>
      <c r="D150" s="1068"/>
      <c r="E150" s="1068"/>
      <c r="F150" s="1069"/>
      <c r="G150" s="1067"/>
      <c r="H150" s="1068"/>
      <c r="I150" s="1068"/>
      <c r="J150" s="1068"/>
      <c r="K150" s="1069"/>
    </row>
    <row r="151" spans="1:11" x14ac:dyDescent="0.25">
      <c r="A151" s="1067"/>
      <c r="B151" s="1068"/>
      <c r="C151" s="1068"/>
      <c r="D151" s="1068"/>
      <c r="E151" s="1068"/>
      <c r="F151" s="1069"/>
      <c r="G151" s="1067"/>
      <c r="H151" s="1068"/>
      <c r="I151" s="1068"/>
      <c r="J151" s="1068"/>
      <c r="K151" s="1069"/>
    </row>
    <row r="152" spans="1:11" x14ac:dyDescent="0.25">
      <c r="A152" s="1067"/>
      <c r="B152" s="1068"/>
      <c r="C152" s="1068"/>
      <c r="D152" s="1068"/>
      <c r="E152" s="1068"/>
      <c r="F152" s="1069"/>
      <c r="G152" s="1067"/>
      <c r="H152" s="1068"/>
      <c r="I152" s="1068"/>
      <c r="J152" s="1068"/>
      <c r="K152" s="1069"/>
    </row>
    <row r="153" spans="1:11" x14ac:dyDescent="0.25">
      <c r="A153" s="1067"/>
      <c r="B153" s="1068"/>
      <c r="C153" s="1068"/>
      <c r="D153" s="1068"/>
      <c r="E153" s="1068"/>
      <c r="F153" s="1069"/>
      <c r="G153" s="1067"/>
      <c r="H153" s="1068"/>
      <c r="I153" s="1068"/>
      <c r="J153" s="1068"/>
      <c r="K153" s="1069"/>
    </row>
    <row r="154" spans="1:11" x14ac:dyDescent="0.25">
      <c r="A154" s="1067"/>
      <c r="B154" s="1068"/>
      <c r="C154" s="1068"/>
      <c r="D154" s="1068"/>
      <c r="E154" s="1068"/>
      <c r="F154" s="1069"/>
      <c r="G154" s="1067"/>
      <c r="H154" s="1068"/>
      <c r="I154" s="1068"/>
      <c r="J154" s="1068"/>
      <c r="K154" s="1069"/>
    </row>
    <row r="155" spans="1:11" x14ac:dyDescent="0.25">
      <c r="A155" s="1067"/>
      <c r="B155" s="1068"/>
      <c r="C155" s="1068"/>
      <c r="D155" s="1068"/>
      <c r="E155" s="1068"/>
      <c r="F155" s="1069"/>
      <c r="G155" s="1067"/>
      <c r="H155" s="1068"/>
      <c r="I155" s="1068"/>
      <c r="J155" s="1068"/>
      <c r="K155" s="1069"/>
    </row>
    <row r="156" spans="1:11" x14ac:dyDescent="0.25">
      <c r="A156" s="1067"/>
      <c r="B156" s="1068"/>
      <c r="C156" s="1068"/>
      <c r="D156" s="1068"/>
      <c r="E156" s="1068"/>
      <c r="F156" s="1069"/>
      <c r="G156" s="1067"/>
      <c r="H156" s="1068"/>
      <c r="I156" s="1068"/>
      <c r="J156" s="1068"/>
      <c r="K156" s="1069"/>
    </row>
    <row r="157" spans="1:11" ht="15.75" thickBot="1" x14ac:dyDescent="0.3">
      <c r="A157" s="1067"/>
      <c r="B157" s="1068"/>
      <c r="C157" s="1068"/>
      <c r="D157" s="1068"/>
      <c r="E157" s="1068"/>
      <c r="F157" s="1069"/>
      <c r="G157" s="1067"/>
      <c r="H157" s="1068"/>
      <c r="I157" s="1068"/>
      <c r="J157" s="1068"/>
      <c r="K157" s="1069"/>
    </row>
    <row r="158" spans="1:11" x14ac:dyDescent="0.25">
      <c r="A158" s="1091" t="s">
        <v>1377</v>
      </c>
      <c r="B158" s="1092"/>
      <c r="C158" s="1092"/>
      <c r="D158" s="1092"/>
      <c r="E158" s="1092"/>
      <c r="F158" s="1093"/>
      <c r="G158" s="1097" t="s">
        <v>1378</v>
      </c>
      <c r="H158" s="1098"/>
      <c r="I158" s="1098"/>
      <c r="J158" s="1098"/>
      <c r="K158" s="1099"/>
    </row>
    <row r="159" spans="1:11" ht="95.25" customHeight="1" thickBot="1" x14ac:dyDescent="0.3">
      <c r="A159" s="1094"/>
      <c r="B159" s="1095"/>
      <c r="C159" s="1095"/>
      <c r="D159" s="1095"/>
      <c r="E159" s="1095"/>
      <c r="F159" s="1096"/>
      <c r="G159" s="1100"/>
      <c r="H159" s="1101"/>
      <c r="I159" s="1101"/>
      <c r="J159" s="1101"/>
      <c r="K159" s="1102"/>
    </row>
    <row r="160" spans="1:11" x14ac:dyDescent="0.25">
      <c r="A160" s="1067"/>
      <c r="B160" s="1068"/>
      <c r="C160" s="1068"/>
      <c r="D160" s="1068"/>
      <c r="E160" s="1068"/>
      <c r="F160" s="1069"/>
      <c r="G160" s="1067"/>
      <c r="H160" s="1068"/>
      <c r="I160" s="1068"/>
      <c r="J160" s="1068"/>
      <c r="K160" s="1069"/>
    </row>
    <row r="161" spans="1:11" x14ac:dyDescent="0.25">
      <c r="A161" s="1067"/>
      <c r="B161" s="1068"/>
      <c r="C161" s="1068"/>
      <c r="D161" s="1068"/>
      <c r="E161" s="1068"/>
      <c r="F161" s="1069"/>
      <c r="G161" s="1067"/>
      <c r="H161" s="1068"/>
      <c r="I161" s="1068"/>
      <c r="J161" s="1068"/>
      <c r="K161" s="1069"/>
    </row>
    <row r="162" spans="1:11" x14ac:dyDescent="0.25">
      <c r="A162" s="1067"/>
      <c r="B162" s="1068"/>
      <c r="C162" s="1068"/>
      <c r="D162" s="1068"/>
      <c r="E162" s="1068"/>
      <c r="F162" s="1069"/>
      <c r="G162" s="1067"/>
      <c r="H162" s="1068"/>
      <c r="I162" s="1068"/>
      <c r="J162" s="1068"/>
      <c r="K162" s="1069"/>
    </row>
    <row r="163" spans="1:11" x14ac:dyDescent="0.25">
      <c r="A163" s="1067"/>
      <c r="B163" s="1068"/>
      <c r="C163" s="1068"/>
      <c r="D163" s="1068"/>
      <c r="E163" s="1068"/>
      <c r="F163" s="1069"/>
      <c r="G163" s="1067"/>
      <c r="H163" s="1068"/>
      <c r="I163" s="1068"/>
      <c r="J163" s="1068"/>
      <c r="K163" s="1069"/>
    </row>
    <row r="164" spans="1:11" x14ac:dyDescent="0.25">
      <c r="A164" s="1067"/>
      <c r="B164" s="1068"/>
      <c r="C164" s="1068"/>
      <c r="D164" s="1068"/>
      <c r="E164" s="1068"/>
      <c r="F164" s="1069"/>
      <c r="G164" s="1067"/>
      <c r="H164" s="1068"/>
      <c r="I164" s="1068"/>
      <c r="J164" s="1068"/>
      <c r="K164" s="1069"/>
    </row>
    <row r="165" spans="1:11" x14ac:dyDescent="0.25">
      <c r="A165" s="1067"/>
      <c r="B165" s="1068"/>
      <c r="C165" s="1068"/>
      <c r="D165" s="1068"/>
      <c r="E165" s="1068"/>
      <c r="F165" s="1069"/>
      <c r="G165" s="1067"/>
      <c r="H165" s="1068"/>
      <c r="I165" s="1068"/>
      <c r="J165" s="1068"/>
      <c r="K165" s="1069"/>
    </row>
    <row r="166" spans="1:11" x14ac:dyDescent="0.25">
      <c r="A166" s="1067"/>
      <c r="B166" s="1068"/>
      <c r="C166" s="1068"/>
      <c r="D166" s="1068"/>
      <c r="E166" s="1068"/>
      <c r="F166" s="1069"/>
      <c r="G166" s="1067"/>
      <c r="H166" s="1068"/>
      <c r="I166" s="1068"/>
      <c r="J166" s="1068"/>
      <c r="K166" s="1069"/>
    </row>
    <row r="167" spans="1:11" x14ac:dyDescent="0.25">
      <c r="A167" s="1067"/>
      <c r="B167" s="1068"/>
      <c r="C167" s="1068"/>
      <c r="D167" s="1068"/>
      <c r="E167" s="1068"/>
      <c r="F167" s="1069"/>
      <c r="G167" s="1067"/>
      <c r="H167" s="1068"/>
      <c r="I167" s="1068"/>
      <c r="J167" s="1068"/>
      <c r="K167" s="1069"/>
    </row>
    <row r="168" spans="1:11" x14ac:dyDescent="0.25">
      <c r="A168" s="1067"/>
      <c r="B168" s="1068"/>
      <c r="C168" s="1068"/>
      <c r="D168" s="1068"/>
      <c r="E168" s="1068"/>
      <c r="F168" s="1069"/>
      <c r="G168" s="1067"/>
      <c r="H168" s="1068"/>
      <c r="I168" s="1068"/>
      <c r="J168" s="1068"/>
      <c r="K168" s="1069"/>
    </row>
    <row r="169" spans="1:11" x14ac:dyDescent="0.25">
      <c r="A169" s="1067"/>
      <c r="B169" s="1068"/>
      <c r="C169" s="1068"/>
      <c r="D169" s="1068"/>
      <c r="E169" s="1068"/>
      <c r="F169" s="1069"/>
      <c r="G169" s="1067"/>
      <c r="H169" s="1068"/>
      <c r="I169" s="1068"/>
      <c r="J169" s="1068"/>
      <c r="K169" s="1069"/>
    </row>
    <row r="170" spans="1:11" x14ac:dyDescent="0.25">
      <c r="A170" s="1067"/>
      <c r="B170" s="1068"/>
      <c r="C170" s="1068"/>
      <c r="D170" s="1068"/>
      <c r="E170" s="1068"/>
      <c r="F170" s="1069"/>
      <c r="G170" s="1067"/>
      <c r="H170" s="1068"/>
      <c r="I170" s="1068"/>
      <c r="J170" s="1068"/>
      <c r="K170" s="1069"/>
    </row>
    <row r="171" spans="1:11" x14ac:dyDescent="0.25">
      <c r="A171" s="1067"/>
      <c r="B171" s="1068"/>
      <c r="C171" s="1068"/>
      <c r="D171" s="1068"/>
      <c r="E171" s="1068"/>
      <c r="F171" s="1069"/>
      <c r="G171" s="1067"/>
      <c r="H171" s="1068"/>
      <c r="I171" s="1068"/>
      <c r="J171" s="1068"/>
      <c r="K171" s="1069"/>
    </row>
    <row r="172" spans="1:11" x14ac:dyDescent="0.25">
      <c r="A172" s="1067"/>
      <c r="B172" s="1068"/>
      <c r="C172" s="1068"/>
      <c r="D172" s="1068"/>
      <c r="E172" s="1068"/>
      <c r="F172" s="1069"/>
      <c r="G172" s="1067"/>
      <c r="H172" s="1068"/>
      <c r="I172" s="1068"/>
      <c r="J172" s="1068"/>
      <c r="K172" s="1069"/>
    </row>
    <row r="173" spans="1:11" ht="15.75" thickBot="1" x14ac:dyDescent="0.3">
      <c r="A173" s="1067"/>
      <c r="B173" s="1068"/>
      <c r="C173" s="1068"/>
      <c r="D173" s="1068"/>
      <c r="E173" s="1068"/>
      <c r="F173" s="1069"/>
      <c r="G173" s="1067"/>
      <c r="H173" s="1068"/>
      <c r="I173" s="1068"/>
      <c r="J173" s="1068"/>
      <c r="K173" s="1069"/>
    </row>
    <row r="174" spans="1:11" ht="91.5" customHeight="1" thickBot="1" x14ac:dyDescent="0.3">
      <c r="A174" s="1103" t="s">
        <v>1379</v>
      </c>
      <c r="B174" s="1104"/>
      <c r="C174" s="1104"/>
      <c r="D174" s="1104"/>
      <c r="E174" s="1104"/>
      <c r="F174" s="1105"/>
      <c r="G174" s="1103" t="s">
        <v>1380</v>
      </c>
      <c r="H174" s="1104"/>
      <c r="I174" s="1104"/>
      <c r="J174" s="1104"/>
      <c r="K174" s="1105"/>
    </row>
    <row r="175" spans="1:11" x14ac:dyDescent="0.25">
      <c r="A175" s="1067"/>
      <c r="B175" s="1068"/>
      <c r="C175" s="1068"/>
      <c r="D175" s="1068"/>
      <c r="E175" s="1068"/>
      <c r="F175" s="1069"/>
      <c r="G175" s="1067"/>
      <c r="H175" s="1068"/>
      <c r="I175" s="1068"/>
      <c r="J175" s="1068"/>
      <c r="K175" s="1069"/>
    </row>
    <row r="176" spans="1:11" x14ac:dyDescent="0.25">
      <c r="A176" s="1067"/>
      <c r="B176" s="1068"/>
      <c r="C176" s="1068"/>
      <c r="D176" s="1068"/>
      <c r="E176" s="1068"/>
      <c r="F176" s="1069"/>
      <c r="G176" s="1067"/>
      <c r="H176" s="1068"/>
      <c r="I176" s="1068"/>
      <c r="J176" s="1068"/>
      <c r="K176" s="1069"/>
    </row>
    <row r="177" spans="1:11" x14ac:dyDescent="0.25">
      <c r="A177" s="1067"/>
      <c r="B177" s="1068"/>
      <c r="C177" s="1068"/>
      <c r="D177" s="1068"/>
      <c r="E177" s="1068"/>
      <c r="F177" s="1069"/>
      <c r="G177" s="1067"/>
      <c r="H177" s="1068"/>
      <c r="I177" s="1068"/>
      <c r="J177" s="1068"/>
      <c r="K177" s="1069"/>
    </row>
    <row r="178" spans="1:11" x14ac:dyDescent="0.25">
      <c r="A178" s="1067"/>
      <c r="B178" s="1068"/>
      <c r="C178" s="1068"/>
      <c r="D178" s="1068"/>
      <c r="E178" s="1068"/>
      <c r="F178" s="1069"/>
      <c r="G178" s="1067"/>
      <c r="H178" s="1068"/>
      <c r="I178" s="1068"/>
      <c r="J178" s="1068"/>
      <c r="K178" s="1069"/>
    </row>
    <row r="179" spans="1:11" x14ac:dyDescent="0.25">
      <c r="A179" s="1067"/>
      <c r="B179" s="1068"/>
      <c r="C179" s="1068"/>
      <c r="D179" s="1068"/>
      <c r="E179" s="1068"/>
      <c r="F179" s="1069"/>
      <c r="G179" s="1067"/>
      <c r="H179" s="1068"/>
      <c r="I179" s="1068"/>
      <c r="J179" s="1068"/>
      <c r="K179" s="1069"/>
    </row>
    <row r="180" spans="1:11" x14ac:dyDescent="0.25">
      <c r="A180" s="1067"/>
      <c r="B180" s="1068"/>
      <c r="C180" s="1068"/>
      <c r="D180" s="1068"/>
      <c r="E180" s="1068"/>
      <c r="F180" s="1069"/>
      <c r="G180" s="1067"/>
      <c r="H180" s="1068"/>
      <c r="I180" s="1068"/>
      <c r="J180" s="1068"/>
      <c r="K180" s="1069"/>
    </row>
    <row r="181" spans="1:11" x14ac:dyDescent="0.25">
      <c r="A181" s="1067"/>
      <c r="B181" s="1068"/>
      <c r="C181" s="1068"/>
      <c r="D181" s="1068"/>
      <c r="E181" s="1068"/>
      <c r="F181" s="1069"/>
      <c r="G181" s="1067"/>
      <c r="H181" s="1068"/>
      <c r="I181" s="1068"/>
      <c r="J181" s="1068"/>
      <c r="K181" s="1069"/>
    </row>
    <row r="182" spans="1:11" x14ac:dyDescent="0.25">
      <c r="A182" s="1067"/>
      <c r="B182" s="1068"/>
      <c r="C182" s="1068"/>
      <c r="D182" s="1068"/>
      <c r="E182" s="1068"/>
      <c r="F182" s="1069"/>
      <c r="G182" s="1067"/>
      <c r="H182" s="1068"/>
      <c r="I182" s="1068"/>
      <c r="J182" s="1068"/>
      <c r="K182" s="1069"/>
    </row>
    <row r="183" spans="1:11" x14ac:dyDescent="0.25">
      <c r="A183" s="1067"/>
      <c r="B183" s="1068"/>
      <c r="C183" s="1068"/>
      <c r="D183" s="1068"/>
      <c r="E183" s="1068"/>
      <c r="F183" s="1069"/>
      <c r="G183" s="1067"/>
      <c r="H183" s="1068"/>
      <c r="I183" s="1068"/>
      <c r="J183" s="1068"/>
      <c r="K183" s="1069"/>
    </row>
    <row r="184" spans="1:11" x14ac:dyDescent="0.25">
      <c r="A184" s="1067"/>
      <c r="B184" s="1068"/>
      <c r="C184" s="1068"/>
      <c r="D184" s="1068"/>
      <c r="E184" s="1068"/>
      <c r="F184" s="1069"/>
      <c r="G184" s="1067"/>
      <c r="H184" s="1068"/>
      <c r="I184" s="1068"/>
      <c r="J184" s="1068"/>
      <c r="K184" s="1069"/>
    </row>
    <row r="185" spans="1:11" x14ac:dyDescent="0.25">
      <c r="A185" s="1067"/>
      <c r="B185" s="1068"/>
      <c r="C185" s="1068"/>
      <c r="D185" s="1068"/>
      <c r="E185" s="1068"/>
      <c r="F185" s="1069"/>
      <c r="G185" s="1067"/>
      <c r="H185" s="1068"/>
      <c r="I185" s="1068"/>
      <c r="J185" s="1068"/>
      <c r="K185" s="1069"/>
    </row>
    <row r="186" spans="1:11" x14ac:dyDescent="0.25">
      <c r="A186" s="1067"/>
      <c r="B186" s="1068"/>
      <c r="C186" s="1068"/>
      <c r="D186" s="1068"/>
      <c r="E186" s="1068"/>
      <c r="F186" s="1069"/>
      <c r="G186" s="1067"/>
      <c r="H186" s="1068"/>
      <c r="I186" s="1068"/>
      <c r="J186" s="1068"/>
      <c r="K186" s="1069"/>
    </row>
    <row r="187" spans="1:11" ht="15" customHeight="1" thickBot="1" x14ac:dyDescent="0.3">
      <c r="A187" s="1067"/>
      <c r="B187" s="1068"/>
      <c r="C187" s="1068"/>
      <c r="D187" s="1068"/>
      <c r="E187" s="1068"/>
      <c r="F187" s="1069"/>
      <c r="G187" s="1067"/>
      <c r="H187" s="1068"/>
      <c r="I187" s="1068"/>
      <c r="J187" s="1068"/>
      <c r="K187" s="1069"/>
    </row>
    <row r="188" spans="1:11" ht="88.5" customHeight="1" thickBot="1" x14ac:dyDescent="0.3">
      <c r="A188" s="1103" t="s">
        <v>1381</v>
      </c>
      <c r="B188" s="1104"/>
      <c r="C188" s="1104"/>
      <c r="D188" s="1104"/>
      <c r="E188" s="1104"/>
      <c r="F188" s="1105"/>
      <c r="G188" s="1103" t="s">
        <v>1382</v>
      </c>
      <c r="H188" s="1104"/>
      <c r="I188" s="1104"/>
      <c r="J188" s="1104"/>
      <c r="K188" s="1105"/>
    </row>
  </sheetData>
  <mergeCells count="55">
    <mergeCell ref="A174:F174"/>
    <mergeCell ref="G174:K174"/>
    <mergeCell ref="A175:F187"/>
    <mergeCell ref="G175:K187"/>
    <mergeCell ref="A188:F188"/>
    <mergeCell ref="G188:K188"/>
    <mergeCell ref="A145:F157"/>
    <mergeCell ref="G145:K157"/>
    <mergeCell ref="A158:F159"/>
    <mergeCell ref="G158:K159"/>
    <mergeCell ref="A160:F173"/>
    <mergeCell ref="G160:K173"/>
    <mergeCell ref="A127:F128"/>
    <mergeCell ref="G127:K128"/>
    <mergeCell ref="A129:F142"/>
    <mergeCell ref="G129:K142"/>
    <mergeCell ref="A143:F144"/>
    <mergeCell ref="G143:K144"/>
    <mergeCell ref="A99:F111"/>
    <mergeCell ref="G99:K111"/>
    <mergeCell ref="A112:F112"/>
    <mergeCell ref="G112:K112"/>
    <mergeCell ref="A113:F126"/>
    <mergeCell ref="G113:K126"/>
    <mergeCell ref="A81:F82"/>
    <mergeCell ref="G81:K82"/>
    <mergeCell ref="A83:F96"/>
    <mergeCell ref="G83:K96"/>
    <mergeCell ref="A97:F98"/>
    <mergeCell ref="G97:J98"/>
    <mergeCell ref="A52:F65"/>
    <mergeCell ref="G52:K65"/>
    <mergeCell ref="A66:F66"/>
    <mergeCell ref="G66:K66"/>
    <mergeCell ref="A67:F80"/>
    <mergeCell ref="G67:K80"/>
    <mergeCell ref="A36:F36"/>
    <mergeCell ref="G36:K36"/>
    <mergeCell ref="A37:F50"/>
    <mergeCell ref="G37:K50"/>
    <mergeCell ref="A51:F51"/>
    <mergeCell ref="G51:K51"/>
    <mergeCell ref="A6:F19"/>
    <mergeCell ref="G6:K19"/>
    <mergeCell ref="A20:F21"/>
    <mergeCell ref="G20:K21"/>
    <mergeCell ref="A22:F35"/>
    <mergeCell ref="G22:K35"/>
    <mergeCell ref="A1:K2"/>
    <mergeCell ref="A3:D3"/>
    <mergeCell ref="F3:H3"/>
    <mergeCell ref="I3:K3"/>
    <mergeCell ref="A4:G5"/>
    <mergeCell ref="J4:K4"/>
    <mergeCell ref="J5:K5"/>
  </mergeCells>
  <printOptions horizontalCentered="1" verticalCentered="1"/>
  <pageMargins left="0.23622047244094491" right="0.23622047244094491" top="0.74803149606299213" bottom="0.74803149606299213" header="0.31496062992125984" footer="0.31496062992125984"/>
  <pageSetup scale="39"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10</vt:i4>
      </vt:variant>
      <vt:variant>
        <vt:lpstr>Rangos con nombre</vt:lpstr>
      </vt:variant>
      <vt:variant>
        <vt:i4>11</vt:i4>
      </vt:variant>
    </vt:vector>
  </HeadingPairs>
  <TitlesOfParts>
    <vt:vector size="21"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Registro fotográfico ambiental</vt:lpstr>
      <vt:lpstr>FINANCIERO!Área_de_impresión</vt:lpstr>
      <vt:lpstr>Predial!Área_de_impresión</vt:lpstr>
      <vt:lpstr>'Registro fotográfico ambiental'!Área_de_impresión</vt:lpstr>
      <vt:lpstr>'Registro fotográfico OyM'!Área_de_impresión</vt:lpstr>
      <vt:lpstr>'Registro fotográfico redes'!Área_de_impresión</vt:lpstr>
      <vt:lpstr>'Registro fotográfico técnico'!Área_de_impresión</vt:lpstr>
      <vt:lpstr>'Registro fotográfico túnel'!Área_de_impresión</vt:lpstr>
      <vt:lpstr>'Registro fotográfico ambiental'!Títulos_a_imprimir</vt:lpstr>
      <vt:lpstr>'Registro fotográfico OyM'!Títulos_a_imprimir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cp:lastPrinted>2020-05-27T22:30:51Z</cp:lastPrinted>
  <dcterms:created xsi:type="dcterms:W3CDTF">2017-11-30T15:30:35Z</dcterms:created>
  <dcterms:modified xsi:type="dcterms:W3CDTF">2021-02-26T00:12:30Z</dcterms:modified>
</cp:coreProperties>
</file>